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erak\Desktop\IEDA\Meetings\2022\10-18-2022 Meeting\"/>
    </mc:Choice>
  </mc:AlternateContent>
  <bookViews>
    <workbookView xWindow="0" yWindow="0" windowWidth="20490" windowHeight="7155" firstSheet="1" activeTab="3"/>
  </bookViews>
  <sheets>
    <sheet name="SOC 9-30-2022" sheetId="13" state="hidden" r:id="rId1"/>
    <sheet name="Q3 Financial Update" sheetId="11" r:id="rId2"/>
    <sheet name="Exp. Report Details" sheetId="2" r:id="rId3"/>
    <sheet name="Travel &amp; Contigency" sheetId="12" r:id="rId4"/>
    <sheet name="Q1 Financial Update" sheetId="10" state="hidden" r:id="rId5"/>
    <sheet name="Budget Tracking" sheetId="3" state="hidden" r:id="rId6"/>
    <sheet name="2022 Power" sheetId="4" state="hidden" r:id="rId7"/>
    <sheet name="2022 Water" sheetId="5" state="hidden" r:id="rId8"/>
    <sheet name="2022 State" sheetId="6" state="hidden" r:id="rId9"/>
    <sheet name="2022 Federal" sheetId="7" state="hidden" r:id="rId10"/>
    <sheet name="2022 Customer Service" sheetId="8" state="hidden" r:id="rId11"/>
    <sheet name="Travel" sheetId="9" state="hidden" r:id="rId1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1" l="1"/>
  <c r="F7" i="11"/>
  <c r="E2" i="11"/>
  <c r="D2" i="11"/>
  <c r="B8" i="11"/>
  <c r="H4" i="11" s="1"/>
  <c r="H5" i="11" s="1"/>
  <c r="D7" i="11"/>
  <c r="G29" i="12"/>
  <c r="D84" i="12"/>
  <c r="F6" i="11"/>
  <c r="D6" i="11"/>
  <c r="D3" i="11"/>
  <c r="D5" i="11"/>
  <c r="C108" i="13" l="1"/>
  <c r="C115" i="13" s="1"/>
  <c r="D4" i="11" l="1"/>
  <c r="I20" i="12"/>
  <c r="AD19" i="12" l="1"/>
  <c r="AI26" i="12"/>
  <c r="Y26" i="12"/>
  <c r="N26" i="12"/>
  <c r="G30" i="12"/>
  <c r="D79" i="12" l="1"/>
  <c r="G31" i="12" l="1"/>
  <c r="AD14" i="12"/>
  <c r="T12" i="12"/>
  <c r="T26" i="12" s="1"/>
  <c r="G32" i="12" s="1"/>
  <c r="G34" i="12"/>
  <c r="G35" i="12"/>
  <c r="AD4" i="12"/>
  <c r="F2" i="11"/>
  <c r="F5" i="11"/>
  <c r="E8" i="11"/>
  <c r="H9" i="11" s="1"/>
  <c r="C8" i="11"/>
  <c r="H8" i="11"/>
  <c r="F8" i="11" l="1"/>
  <c r="AD26" i="12"/>
  <c r="G33" i="12" s="1"/>
  <c r="G36" i="12" s="1"/>
  <c r="H10" i="11"/>
  <c r="D32" i="2"/>
  <c r="G38" i="12" l="1"/>
  <c r="E3" i="3"/>
  <c r="E5" i="3" s="1"/>
  <c r="C3" i="3"/>
  <c r="B3" i="3"/>
  <c r="C5" i="3"/>
  <c r="D5" i="3"/>
  <c r="F5" i="3"/>
  <c r="E4" i="3"/>
  <c r="F2" i="3"/>
  <c r="E2" i="3"/>
  <c r="D2" i="3"/>
  <c r="C2" i="3"/>
  <c r="B2" i="3"/>
  <c r="C2" i="6"/>
  <c r="D2" i="6"/>
  <c r="E2" i="6"/>
  <c r="F2" i="6"/>
  <c r="G2" i="6"/>
  <c r="H2" i="6"/>
  <c r="I2" i="6"/>
  <c r="J2" i="6"/>
  <c r="K2" i="6"/>
  <c r="L2" i="6"/>
  <c r="M2" i="6"/>
  <c r="B2" i="6"/>
  <c r="C2" i="7"/>
  <c r="D2" i="7"/>
  <c r="E2" i="7"/>
  <c r="F2" i="7"/>
  <c r="G2" i="7"/>
  <c r="H2" i="7"/>
  <c r="I2" i="7"/>
  <c r="J2" i="7"/>
  <c r="K2" i="7"/>
  <c r="L2" i="7"/>
  <c r="M2" i="7"/>
  <c r="B2" i="7"/>
  <c r="C2" i="8"/>
  <c r="D2" i="8"/>
  <c r="E2" i="8"/>
  <c r="F2" i="8"/>
  <c r="G2" i="8"/>
  <c r="H2" i="8"/>
  <c r="I2" i="8"/>
  <c r="J2" i="8"/>
  <c r="K2" i="8"/>
  <c r="L2" i="8"/>
  <c r="M2" i="8"/>
  <c r="B2" i="8"/>
  <c r="C2" i="5"/>
  <c r="D2" i="5"/>
  <c r="E2" i="5"/>
  <c r="F2" i="5"/>
  <c r="G2" i="5"/>
  <c r="H2" i="5"/>
  <c r="I2" i="5"/>
  <c r="J2" i="5"/>
  <c r="K2" i="5"/>
  <c r="L2" i="5"/>
  <c r="M2" i="5"/>
  <c r="B2" i="5"/>
  <c r="C2" i="4"/>
  <c r="D2" i="4"/>
  <c r="E2" i="4"/>
  <c r="F2" i="4"/>
  <c r="G2" i="4"/>
  <c r="H2" i="4"/>
  <c r="I2" i="4"/>
  <c r="J2" i="4"/>
  <c r="K2" i="4"/>
  <c r="L2" i="4"/>
  <c r="M2" i="4"/>
  <c r="B2" i="4"/>
  <c r="J6" i="10" l="1"/>
  <c r="E7" i="10" l="1"/>
  <c r="H7" i="10"/>
  <c r="E8" i="10"/>
  <c r="H8" i="10" s="1"/>
  <c r="H9" i="10" s="1"/>
  <c r="F7" i="10"/>
  <c r="B5" i="3"/>
  <c r="N8" i="7"/>
  <c r="N9" i="7"/>
  <c r="N21" i="9"/>
  <c r="B7" i="10"/>
  <c r="H4" i="10"/>
  <c r="C8" i="10"/>
  <c r="H20" i="3"/>
  <c r="H18" i="3"/>
  <c r="D7" i="10" l="1"/>
  <c r="E4" i="10"/>
  <c r="F4" i="10" s="1"/>
  <c r="F3" i="10"/>
  <c r="E3" i="10"/>
  <c r="E2" i="10"/>
  <c r="F2" i="10" s="1"/>
  <c r="B2" i="10"/>
  <c r="D5" i="10" l="1"/>
  <c r="D6" i="10"/>
  <c r="B4" i="10"/>
  <c r="D4" i="10" s="1"/>
  <c r="B3" i="10"/>
  <c r="D3" i="10" s="1"/>
  <c r="D2" i="10"/>
  <c r="H3" i="10"/>
  <c r="F15" i="7" l="1"/>
  <c r="G7" i="7"/>
  <c r="D6" i="7" l="1"/>
  <c r="D39" i="7"/>
  <c r="D18" i="9"/>
  <c r="N20" i="9" l="1"/>
  <c r="N19" i="9"/>
  <c r="N18" i="9"/>
  <c r="N17" i="9"/>
  <c r="N16" i="9"/>
  <c r="N26" i="9" l="1"/>
  <c r="N25" i="9"/>
  <c r="K18" i="9"/>
  <c r="G18" i="9"/>
  <c r="D17" i="9"/>
  <c r="B17" i="9"/>
  <c r="D16" i="9"/>
  <c r="N13" i="9"/>
  <c r="N12" i="9"/>
  <c r="N11" i="9"/>
  <c r="M10" i="9"/>
  <c r="I10" i="9"/>
  <c r="N9" i="9"/>
  <c r="N6" i="9"/>
  <c r="N5" i="9"/>
  <c r="N4" i="9"/>
  <c r="J3" i="9"/>
  <c r="G3" i="9"/>
  <c r="E3" i="9"/>
  <c r="B3" i="9"/>
  <c r="N2" i="9"/>
  <c r="M2" i="9"/>
  <c r="N10" i="9" l="1"/>
  <c r="N14" i="9" s="1"/>
  <c r="N3" i="9"/>
  <c r="N7" i="9" s="1"/>
  <c r="K7" i="7"/>
  <c r="I5" i="5"/>
  <c r="J5" i="4"/>
  <c r="G5" i="4"/>
  <c r="N4" i="6"/>
  <c r="M4" i="4"/>
  <c r="E5" i="4"/>
  <c r="G5" i="3" l="1"/>
  <c r="N5" i="7"/>
  <c r="N7" i="7"/>
  <c r="N4" i="5"/>
  <c r="N5" i="5"/>
  <c r="N6" i="5"/>
  <c r="N7" i="5"/>
  <c r="N8" i="5"/>
  <c r="N6" i="4"/>
  <c r="N7" i="4"/>
  <c r="B5" i="4"/>
  <c r="N5" i="4" s="1"/>
  <c r="N4" i="4"/>
  <c r="M5" i="5"/>
  <c r="B6" i="7"/>
  <c r="N6" i="7" s="1"/>
  <c r="N3" i="4"/>
  <c r="N3" i="5"/>
  <c r="M5" i="8"/>
  <c r="N8" i="4"/>
  <c r="D18" i="5"/>
  <c r="D15" i="5"/>
  <c r="N3" i="8"/>
  <c r="N4" i="8"/>
  <c r="L5" i="8"/>
  <c r="K5" i="8"/>
  <c r="N5" i="8" s="1"/>
  <c r="C4" i="7" l="1"/>
  <c r="D4" i="7"/>
  <c r="E4" i="7"/>
  <c r="F4" i="7"/>
  <c r="G4" i="7"/>
  <c r="H4" i="7"/>
  <c r="I4" i="7"/>
  <c r="J4" i="7"/>
  <c r="K4" i="7"/>
  <c r="L4" i="7"/>
  <c r="M4" i="7"/>
  <c r="B4" i="7"/>
  <c r="C3" i="7"/>
  <c r="D3" i="7"/>
  <c r="E3" i="7"/>
  <c r="F3" i="7"/>
  <c r="G3" i="7"/>
  <c r="H3" i="7"/>
  <c r="I3" i="7"/>
  <c r="J3" i="7"/>
  <c r="K3" i="7"/>
  <c r="L3" i="7"/>
  <c r="M3" i="7"/>
  <c r="B3" i="7"/>
  <c r="N3" i="6"/>
  <c r="C3" i="6"/>
  <c r="D3" i="6"/>
  <c r="E3" i="6"/>
  <c r="F3" i="6"/>
  <c r="G3" i="6"/>
  <c r="H3" i="6"/>
  <c r="I3" i="6"/>
  <c r="J3" i="6"/>
  <c r="K3" i="6"/>
  <c r="L3" i="6"/>
  <c r="M3" i="6"/>
  <c r="B3" i="6"/>
  <c r="N3" i="7" l="1"/>
  <c r="N4" i="7"/>
  <c r="N2" i="8"/>
  <c r="N6" i="8" s="1"/>
  <c r="F6" i="3" s="1"/>
  <c r="F7" i="3" s="1"/>
  <c r="N2" i="7"/>
  <c r="N10" i="7" s="1"/>
  <c r="N2" i="6"/>
  <c r="N5" i="6" s="1"/>
  <c r="D6" i="3" s="1"/>
  <c r="D7" i="3" s="1"/>
  <c r="E6" i="3" l="1"/>
  <c r="N2" i="4"/>
  <c r="N9" i="4" s="1"/>
  <c r="B6" i="3" s="1"/>
  <c r="N2" i="5"/>
  <c r="N9" i="5" s="1"/>
  <c r="C6" i="3" s="1"/>
  <c r="C7" i="3" s="1"/>
  <c r="E7" i="3" l="1"/>
  <c r="G6" i="3"/>
  <c r="B7" i="3"/>
  <c r="G7" i="3" l="1"/>
</calcChain>
</file>

<file path=xl/comments1.xml><?xml version="1.0" encoding="utf-8"?>
<comments xmlns="http://schemas.openxmlformats.org/spreadsheetml/2006/main">
  <authors>
    <author>Ed Gerak</author>
  </authors>
  <commentList>
    <comment ref="C5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30K from Contigency &amp; 30K Increase in Dues
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Moved $30K into KRS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Increase of 30K for 2021 Board Members
</t>
        </r>
      </text>
    </comment>
  </commentList>
</comments>
</file>

<file path=xl/comments2.xml><?xml version="1.0" encoding="utf-8"?>
<comments xmlns="http://schemas.openxmlformats.org/spreadsheetml/2006/main">
  <authors>
    <author>Ed Gerak</author>
  </authors>
  <commentList>
    <comment ref="T9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Used Free Hotel Night in DC for Exchange $500/Value</t>
        </r>
      </text>
    </comment>
    <comment ref="AD19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Airport Shuttle - $70 RT</t>
        </r>
      </text>
    </comment>
  </commentList>
</comments>
</file>

<file path=xl/comments3.xml><?xml version="1.0" encoding="utf-8"?>
<comments xmlns="http://schemas.openxmlformats.org/spreadsheetml/2006/main">
  <authors>
    <author>Ed Gerak</author>
  </authors>
  <commentList>
    <comment ref="H4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Increase of 30K for 2021 Board Members
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30K from Contigency &amp; 30K Increase in Dues
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Moved $30K into KRS</t>
        </r>
      </text>
    </comment>
  </commentList>
</comments>
</file>

<file path=xl/comments4.xml><?xml version="1.0" encoding="utf-8"?>
<comments xmlns="http://schemas.openxmlformats.org/spreadsheetml/2006/main">
  <authors>
    <author>Ed Gerak</author>
  </authors>
  <commentList>
    <comment ref="M4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2 DC Trips &amp; Vegas CREDA
</t>
        </r>
      </text>
    </comment>
  </commentList>
</comments>
</file>

<file path=xl/comments5.xml><?xml version="1.0" encoding="utf-8"?>
<comments xmlns="http://schemas.openxmlformats.org/spreadsheetml/2006/main">
  <authors>
    <author>Ed Gerak</author>
  </authors>
  <commentList>
    <comment ref="J5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Logo
</t>
        </r>
      </text>
    </comment>
    <comment ref="K5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Business Cards &amp; Storage Drives
</t>
        </r>
      </text>
    </comment>
  </commentList>
</comments>
</file>

<file path=xl/comments6.xml><?xml version="1.0" encoding="utf-8"?>
<comments xmlns="http://schemas.openxmlformats.org/spreadsheetml/2006/main">
  <authors>
    <author>Ed Gerak</author>
  </authors>
  <commentList>
    <comment ref="M2" authorId="0" shapeId="0">
      <text>
        <r>
          <rPr>
            <b/>
            <sz val="9"/>
            <color indexed="81"/>
            <rFont val="Tahoma"/>
            <charset val="1"/>
          </rPr>
          <t>Ed Gerak:</t>
        </r>
        <r>
          <rPr>
            <sz val="9"/>
            <color indexed="81"/>
            <rFont val="Tahoma"/>
            <charset val="1"/>
          </rPr>
          <t xml:space="preserve">
2 DC Trips &amp; Vegas CREDA
</t>
        </r>
      </text>
    </comment>
  </commentList>
</comments>
</file>

<file path=xl/sharedStrings.xml><?xml version="1.0" encoding="utf-8"?>
<sst xmlns="http://schemas.openxmlformats.org/spreadsheetml/2006/main" count="992" uniqueCount="536">
  <si>
    <t>Date</t>
  </si>
  <si>
    <t>Details</t>
  </si>
  <si>
    <t>Total</t>
  </si>
  <si>
    <t xml:space="preserve">Expense Report </t>
  </si>
  <si>
    <t>Item</t>
  </si>
  <si>
    <t>Cost</t>
  </si>
  <si>
    <t>Coffee</t>
  </si>
  <si>
    <t>Lunch</t>
  </si>
  <si>
    <t>Speaker Gifts</t>
  </si>
  <si>
    <t>Crumbl Cookies</t>
  </si>
  <si>
    <t>Sam's</t>
  </si>
  <si>
    <t>Food for Annual Meeting</t>
  </si>
  <si>
    <t>Sugar N Spice</t>
  </si>
  <si>
    <t>Donuts for Annual Meeting</t>
  </si>
  <si>
    <t>Rudy's BBQ</t>
  </si>
  <si>
    <t>Breakfast Tacos</t>
  </si>
  <si>
    <t>DC Cab</t>
  </si>
  <si>
    <t>Airport to Hotel</t>
  </si>
  <si>
    <t>Chick-Fil-A</t>
  </si>
  <si>
    <t xml:space="preserve">Breakfast  </t>
  </si>
  <si>
    <t>Corner Bakery</t>
  </si>
  <si>
    <t>Grand Cab Company</t>
  </si>
  <si>
    <t>Hotel to Logworth</t>
  </si>
  <si>
    <t>Longworth FC</t>
  </si>
  <si>
    <t>Lyft</t>
  </si>
  <si>
    <t>Union Station to Hill</t>
  </si>
  <si>
    <t>Joe's Stone Crab DC</t>
  </si>
  <si>
    <t>Dinner</t>
  </si>
  <si>
    <t>Hotel to Airport</t>
  </si>
  <si>
    <t>Rayburn to Hotel</t>
  </si>
  <si>
    <t>Sky Harbor</t>
  </si>
  <si>
    <t>Parking</t>
  </si>
  <si>
    <t xml:space="preserve">Ben's </t>
  </si>
  <si>
    <t>Capital Hilton</t>
  </si>
  <si>
    <t>Lodging</t>
  </si>
  <si>
    <t>GCSECA Annual Meeting</t>
  </si>
  <si>
    <t>Registration</t>
  </si>
  <si>
    <t xml:space="preserve">Wendy's </t>
  </si>
  <si>
    <t>Crack Shack</t>
  </si>
  <si>
    <t>Starbucks</t>
  </si>
  <si>
    <t>Breakfast</t>
  </si>
  <si>
    <t>Pei Wei</t>
  </si>
  <si>
    <t>Park MGM</t>
  </si>
  <si>
    <t>Hotel - Balance</t>
  </si>
  <si>
    <t>Power</t>
  </si>
  <si>
    <t>Water</t>
  </si>
  <si>
    <t>State</t>
  </si>
  <si>
    <t>Federal</t>
  </si>
  <si>
    <t>Customer Service</t>
  </si>
  <si>
    <t>Salary &amp; Benefits</t>
  </si>
  <si>
    <t>Travel</t>
  </si>
  <si>
    <t>Consulting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</si>
  <si>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</si>
  <si>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</si>
  <si>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</si>
  <si>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</si>
  <si>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</si>
  <si>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</si>
  <si>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</si>
  <si>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</si>
  <si>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</si>
  <si>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</si>
  <si>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</si>
  <si>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</si>
  <si>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Salry &amp; Benefits</t>
  </si>
  <si>
    <t>KRS Invoice</t>
  </si>
  <si>
    <t>Time Breakdown</t>
  </si>
  <si>
    <t>% Allocation</t>
  </si>
  <si>
    <t>Salary</t>
  </si>
  <si>
    <t>Benefits</t>
  </si>
  <si>
    <t>Office/Misc</t>
  </si>
  <si>
    <t>State Lobbying</t>
  </si>
  <si>
    <t>B3 Strategies</t>
  </si>
  <si>
    <t>Federal Lobbying</t>
  </si>
  <si>
    <t>Meguire Whitney</t>
  </si>
  <si>
    <t>KRS</t>
  </si>
  <si>
    <t>Office/Benefits</t>
  </si>
  <si>
    <t>Legal</t>
  </si>
  <si>
    <t>Sum</t>
  </si>
  <si>
    <t>Contingency</t>
  </si>
  <si>
    <t>Cost Breakdown</t>
  </si>
  <si>
    <t>B3 (75%)</t>
  </si>
  <si>
    <t>B3 (25%)</t>
  </si>
  <si>
    <t>MW</t>
  </si>
  <si>
    <t>Annual Meeting</t>
  </si>
  <si>
    <t>CRWUA</t>
  </si>
  <si>
    <t>NWRA</t>
  </si>
  <si>
    <t>Meeting Lunch</t>
  </si>
  <si>
    <t>Meals</t>
  </si>
  <si>
    <t>Caesars Palace</t>
  </si>
  <si>
    <t>Room Charge</t>
  </si>
  <si>
    <t>Registration - Chandler</t>
  </si>
  <si>
    <t>Old Pueblo</t>
  </si>
  <si>
    <t>Lunch w/ Ryan Serote</t>
  </si>
  <si>
    <t>APPA - Leg Rally</t>
  </si>
  <si>
    <t>Conference Registration</t>
  </si>
  <si>
    <t>Misc</t>
  </si>
  <si>
    <t>Membership</t>
  </si>
  <si>
    <t xml:space="preserve">Southwest </t>
  </si>
  <si>
    <t>DC Flight</t>
  </si>
  <si>
    <t>American</t>
  </si>
  <si>
    <t>Bobby's Burgers</t>
  </si>
  <si>
    <t>Pronto</t>
  </si>
  <si>
    <t>Caesar's</t>
  </si>
  <si>
    <t>Hotel</t>
  </si>
  <si>
    <t>Jersey Mike's</t>
  </si>
  <si>
    <t>CREDA Vegas Flight</t>
  </si>
  <si>
    <t>Power (49.7%) - $259,721</t>
  </si>
  <si>
    <t>Water (19.9%) - $81,949</t>
  </si>
  <si>
    <t>Park MGM - (Vegas)</t>
  </si>
  <si>
    <t>Legal SLW</t>
  </si>
  <si>
    <t>SLW</t>
  </si>
  <si>
    <t>APA</t>
  </si>
  <si>
    <t>Transportation &amp; Parking</t>
  </si>
  <si>
    <t>Flights</t>
  </si>
  <si>
    <t>Transporation</t>
  </si>
  <si>
    <t>APPA</t>
  </si>
  <si>
    <t>Annual Dues</t>
  </si>
  <si>
    <t>Trending</t>
  </si>
  <si>
    <t>Difference</t>
  </si>
  <si>
    <t>C - SLC</t>
  </si>
  <si>
    <t>C - NM</t>
  </si>
  <si>
    <t>C - DEN</t>
  </si>
  <si>
    <t>C - PHX</t>
  </si>
  <si>
    <t>DC</t>
  </si>
  <si>
    <t>C. Springs</t>
  </si>
  <si>
    <t>TBD</t>
  </si>
  <si>
    <t>C. Spring</t>
  </si>
  <si>
    <t>Vegas</t>
  </si>
  <si>
    <t>TN</t>
  </si>
  <si>
    <t>Park City</t>
  </si>
  <si>
    <t>SLC</t>
  </si>
  <si>
    <t>NM &amp; TN</t>
  </si>
  <si>
    <t>UT</t>
  </si>
  <si>
    <t>CO</t>
  </si>
  <si>
    <t>NV</t>
  </si>
  <si>
    <t>Rubio's</t>
  </si>
  <si>
    <t>Modern Market</t>
  </si>
  <si>
    <t>State Society of Arizona</t>
  </si>
  <si>
    <t>Cab from DCA to Mayflower</t>
  </si>
  <si>
    <t>Cash</t>
  </si>
  <si>
    <t>Pita Jungle</t>
  </si>
  <si>
    <t>IEDA Meeting Lunch</t>
  </si>
  <si>
    <t>APPA National Confernce</t>
  </si>
  <si>
    <t>Gaylord Opryland</t>
  </si>
  <si>
    <t>Hotel Deposit</t>
  </si>
  <si>
    <t>Doghaus Yuma</t>
  </si>
  <si>
    <t>Founding Farmers</t>
  </si>
  <si>
    <t>Edgar (Hotel Bill)</t>
  </si>
  <si>
    <t>Ocean Prime</t>
  </si>
  <si>
    <t>UVC Arlington</t>
  </si>
  <si>
    <t>Cab</t>
  </si>
  <si>
    <t>Conference Hotel</t>
  </si>
  <si>
    <t>Mayflower Hotel (4 Nights)</t>
  </si>
  <si>
    <t>Foodhall</t>
  </si>
  <si>
    <t>Parking - 5 Days</t>
  </si>
  <si>
    <t>2022 Opening Balance</t>
  </si>
  <si>
    <t>MeguireWhitney</t>
  </si>
  <si>
    <t>KR Saline</t>
  </si>
  <si>
    <t>Revenue YTD</t>
  </si>
  <si>
    <t>Remaining Dues</t>
  </si>
  <si>
    <t>2022 YE Cash</t>
  </si>
  <si>
    <t>YTD</t>
  </si>
  <si>
    <t>Budget</t>
  </si>
  <si>
    <t>Outstanding</t>
  </si>
  <si>
    <t>Legal (SW)</t>
  </si>
  <si>
    <t>YE Actual</t>
  </si>
  <si>
    <t>Delta</t>
  </si>
  <si>
    <t>Travel + Contingency</t>
  </si>
  <si>
    <t>SCIP Dues?</t>
  </si>
  <si>
    <t>Hohokam, Needles &amp; YCWUA Dues</t>
  </si>
  <si>
    <t>Actual Expenses (Trending)</t>
  </si>
  <si>
    <t>Federal (11.9%) - $135,374</t>
  </si>
  <si>
    <t>Customer Service (10.6%) - $37,958</t>
  </si>
  <si>
    <t>State (11.9%) - $91,374</t>
  </si>
  <si>
    <t>Travel &amp; Misc.</t>
  </si>
  <si>
    <t>Taxi</t>
  </si>
  <si>
    <t>Gaylord Opryland Resort</t>
  </si>
  <si>
    <t>Hotel - APPA Nat. Conv.</t>
  </si>
  <si>
    <t>Puckett's BBQ</t>
  </si>
  <si>
    <t xml:space="preserve">Lunch </t>
  </si>
  <si>
    <t>West Eng. News</t>
  </si>
  <si>
    <t>Snacks (Substitute for Dinner)</t>
  </si>
  <si>
    <t>Yellow Cab</t>
  </si>
  <si>
    <t>Mission BBQ</t>
  </si>
  <si>
    <t>Delta Market</t>
  </si>
  <si>
    <t>Auntie Anne's/Cinnabon</t>
  </si>
  <si>
    <t>Dessert</t>
  </si>
  <si>
    <t>Hagendaus</t>
  </si>
  <si>
    <t>Charley's Cheesesteak</t>
  </si>
  <si>
    <t xml:space="preserve">Jack Daniel's </t>
  </si>
  <si>
    <t>FirstWatch</t>
  </si>
  <si>
    <t>Broadmoor</t>
  </si>
  <si>
    <t>Hotel Deposit APPA Advisory</t>
  </si>
  <si>
    <t>JP McGurkees</t>
  </si>
  <si>
    <t>Lunch for IEDA Meeting</t>
  </si>
  <si>
    <t>East Economy Parking</t>
  </si>
  <si>
    <t>Avis</t>
  </si>
  <si>
    <t>Rental Car - CREDA Santa Fe</t>
  </si>
  <si>
    <t>Coyote Café</t>
  </si>
  <si>
    <t xml:space="preserve">Lunch  </t>
  </si>
  <si>
    <t>Little America Flagstaff</t>
  </si>
  <si>
    <t>ArtEscape</t>
  </si>
  <si>
    <t>Website Maintence/Posting</t>
  </si>
  <si>
    <t>La Fonda</t>
  </si>
  <si>
    <t>Maverick</t>
  </si>
  <si>
    <t>Gas for Rental Car</t>
  </si>
  <si>
    <t>Cab - Airport to Hotel</t>
  </si>
  <si>
    <t>Southwest Airlines</t>
  </si>
  <si>
    <t>BNA to PHX Flight</t>
  </si>
  <si>
    <t>1/3 Website Deposit</t>
  </si>
  <si>
    <t>ArtEscapes</t>
  </si>
  <si>
    <t>Hotel - APPA Leg Rally</t>
  </si>
  <si>
    <t>Parking for Event</t>
  </si>
  <si>
    <t>International State of the State</t>
  </si>
  <si>
    <t>Southwest DC Flight</t>
  </si>
  <si>
    <t xml:space="preserve">Change to Original Flight </t>
  </si>
  <si>
    <t>Website Final Payment</t>
  </si>
  <si>
    <t xml:space="preserve">Hotel Cotton Growers </t>
  </si>
  <si>
    <t>NWRA Registration</t>
  </si>
  <si>
    <t>Legislative Conference</t>
  </si>
  <si>
    <t>East Economy Sky Harbor</t>
  </si>
  <si>
    <t>E&amp;OC - Las Vegas</t>
  </si>
  <si>
    <t>Website Maintenance</t>
  </si>
  <si>
    <t>Hotel CREDA Santa Fe</t>
  </si>
  <si>
    <t>American Airlines</t>
  </si>
  <si>
    <t>Flight Change Upgrade PHX to DC</t>
  </si>
  <si>
    <t>Embassy Suites</t>
  </si>
  <si>
    <t>Cab - Hotel to Airport</t>
  </si>
  <si>
    <t>Flight from DC to PHX</t>
  </si>
  <si>
    <t>Zoom</t>
  </si>
  <si>
    <t>Webinar Platform</t>
  </si>
  <si>
    <t xml:space="preserve">Western Wine </t>
  </si>
  <si>
    <t>Sponsorship</t>
  </si>
  <si>
    <t>Flight from DC to PHX - Change</t>
  </si>
  <si>
    <t>US Treasury</t>
  </si>
  <si>
    <t>Non-Profit Filing</t>
  </si>
  <si>
    <t>In Rememberence</t>
  </si>
  <si>
    <t>Donation</t>
  </si>
  <si>
    <t>Breakfast Club</t>
  </si>
  <si>
    <t>Breakfast w/ Russell &amp; Emily</t>
  </si>
  <si>
    <t>Cab - Hotel to Hill</t>
  </si>
  <si>
    <t>Flight from PHX to DC</t>
  </si>
  <si>
    <t>GCSECA Summer Meeting</t>
  </si>
  <si>
    <t>4 Silos</t>
  </si>
  <si>
    <t>Cab - Hotel to Logworth</t>
  </si>
  <si>
    <t>Flight to SLC - CREDA</t>
  </si>
  <si>
    <t>Cab - Nationals to Hotel - Cash</t>
  </si>
  <si>
    <t>Dc to PHX NWRA</t>
  </si>
  <si>
    <t>Cab - Rayburn to Hotel</t>
  </si>
  <si>
    <t>PHX to ABQ</t>
  </si>
  <si>
    <t>Hyatt Place</t>
  </si>
  <si>
    <t>Hotel - CREDA SLC</t>
  </si>
  <si>
    <t>Starbuck's</t>
  </si>
  <si>
    <t>Coffee at E&amp;OC Las Vegas</t>
  </si>
  <si>
    <t>vts District Cab</t>
  </si>
  <si>
    <t>Cab - Union Station to Hill</t>
  </si>
  <si>
    <t>PHX to BNA Flight</t>
  </si>
  <si>
    <t>Cab to Airport</t>
  </si>
  <si>
    <t xml:space="preserve">Hotel Water &amp; Energy Confernce </t>
  </si>
  <si>
    <t>Food</t>
  </si>
  <si>
    <t>Cab - Reagan to Hotel</t>
  </si>
  <si>
    <t>Transportation</t>
  </si>
  <si>
    <t>Market Street Grill</t>
  </si>
  <si>
    <t>Dinner - CREDA SLC</t>
  </si>
  <si>
    <t>Lunch - IEDA Meeting Lunch</t>
  </si>
  <si>
    <t>Drinks</t>
  </si>
  <si>
    <t>Longworth cafeteria</t>
  </si>
  <si>
    <t>Shake Shack</t>
  </si>
  <si>
    <t>Lunch at E&amp;OC Las Vegas</t>
  </si>
  <si>
    <t>Café Rio</t>
  </si>
  <si>
    <t>Lunch at SLC Airport</t>
  </si>
  <si>
    <t>Gourmand</t>
  </si>
  <si>
    <t>Sack's</t>
  </si>
  <si>
    <t>Rita's Mexican Food</t>
  </si>
  <si>
    <t>Lunch w/ Dave Lock</t>
  </si>
  <si>
    <t>Cali Tacos</t>
  </si>
  <si>
    <t>Lunch w/ Donovan Neese</t>
  </si>
  <si>
    <t>Eggstasy</t>
  </si>
  <si>
    <t>Lunch w/ Jordy Fuentes</t>
  </si>
  <si>
    <t>Pad Thai Café</t>
  </si>
  <si>
    <t>Lunch w/ Jorge Canaca</t>
  </si>
  <si>
    <t>Café 25:35</t>
  </si>
  <si>
    <t>Lunch w/ Noel Carter</t>
  </si>
  <si>
    <t>Native Wings</t>
  </si>
  <si>
    <t>Lunch w/ Shelton NMID</t>
  </si>
  <si>
    <t>Lunch w/ Russell Smoldon</t>
  </si>
  <si>
    <t>McGurkees</t>
  </si>
  <si>
    <t>Nationals Game</t>
  </si>
  <si>
    <t>Wild Thaiger</t>
  </si>
  <si>
    <t>Lunch - IEDA Meeting</t>
  </si>
  <si>
    <t>Old Ebbits Grill</t>
  </si>
  <si>
    <t>Dinner at CRWUA</t>
  </si>
  <si>
    <t>AZFB</t>
  </si>
  <si>
    <t>Lunch at IEDA Meeting</t>
  </si>
  <si>
    <t>Monroe's Hot Chicken</t>
  </si>
  <si>
    <t>Lunch w/ Doug SRP</t>
  </si>
  <si>
    <t>Little America</t>
  </si>
  <si>
    <t>Dinner - GCSECA</t>
  </si>
  <si>
    <t>Hotel - 2 Nights for CSECA</t>
  </si>
  <si>
    <t>Horseshoe Bend</t>
  </si>
  <si>
    <t>City of Page - Colorado River Tour</t>
  </si>
  <si>
    <t>Arizona Corporation Comm.</t>
  </si>
  <si>
    <t>Annual Report</t>
  </si>
  <si>
    <t>Hilton Sunrise Park City</t>
  </si>
  <si>
    <t>Hotel - APPA Advisory</t>
  </si>
  <si>
    <t>7/25 to 7/29</t>
  </si>
  <si>
    <t>Per Diem @ 75</t>
  </si>
  <si>
    <t>Food for 5 Days</t>
  </si>
  <si>
    <t>Flight to COS for CoBank</t>
  </si>
  <si>
    <t>Flight to DC</t>
  </si>
  <si>
    <t>Flight to LAS for TRC</t>
  </si>
  <si>
    <t>Flight to DEN for CREDA</t>
  </si>
  <si>
    <t>Schlotzsky's</t>
  </si>
  <si>
    <t>PF Changs</t>
  </si>
  <si>
    <t>Lunch w/ CAP</t>
  </si>
  <si>
    <t>Lola Coffee</t>
  </si>
  <si>
    <t>Coffee w/ ACC Daniel S.</t>
  </si>
  <si>
    <t>Portillo's</t>
  </si>
  <si>
    <t>Lunch w/ SRP</t>
  </si>
  <si>
    <t xml:space="preserve">Hilton </t>
  </si>
  <si>
    <t>Hotel - CRWUA</t>
  </si>
  <si>
    <t>GoDaddy</t>
  </si>
  <si>
    <t xml:space="preserve">Website </t>
  </si>
  <si>
    <t>Org Domain</t>
  </si>
  <si>
    <t>Breakfast w/ Russell</t>
  </si>
  <si>
    <t>Duck &amp; Decanter</t>
  </si>
  <si>
    <t>Lunch w/ Ben AEPCO</t>
  </si>
  <si>
    <t>The Local</t>
  </si>
  <si>
    <t>Lunch - w/ Donovan</t>
  </si>
  <si>
    <t>Hassayampa Inn</t>
  </si>
  <si>
    <t>Hotel - ABWC Meeting Prescott</t>
  </si>
  <si>
    <t>Lone Spur Café</t>
  </si>
  <si>
    <t>LGO Airport</t>
  </si>
  <si>
    <t>Hotel - CoBank</t>
  </si>
  <si>
    <t>Red Rocks</t>
  </si>
  <si>
    <t>Hotel Shuttle - RT</t>
  </si>
  <si>
    <t>Total Travel</t>
  </si>
  <si>
    <t>TSA Precheck</t>
  </si>
  <si>
    <t>TSA Renewal</t>
  </si>
  <si>
    <t>Art Escape</t>
  </si>
  <si>
    <t>Website Work</t>
  </si>
  <si>
    <t>Leg &amp; Reg Conference</t>
  </si>
  <si>
    <t>APPA Registration</t>
  </si>
  <si>
    <t>ABWC Registration</t>
  </si>
  <si>
    <t>Hotel - CREDA DEN</t>
  </si>
  <si>
    <t>Doubletree Westminter</t>
  </si>
  <si>
    <t>Airport to United Power</t>
  </si>
  <si>
    <t>Cracovia</t>
  </si>
  <si>
    <t>Dinner w/ SRP</t>
  </si>
  <si>
    <t>Avis Car Rental</t>
  </si>
  <si>
    <t>Denver CREDA Meeting</t>
  </si>
  <si>
    <t>Las Vegas - TRC</t>
  </si>
  <si>
    <t>Gas</t>
  </si>
  <si>
    <t>Hotel - Las Vegas TRC</t>
  </si>
  <si>
    <t>Doubletree Las Vega Airport</t>
  </si>
  <si>
    <t>Annual Meeting - Santa Barbara</t>
  </si>
  <si>
    <t>Tolls Denver</t>
  </si>
  <si>
    <t>CREDA Meeting - DEN</t>
  </si>
  <si>
    <t>Lunch  w/ WAPA</t>
  </si>
  <si>
    <t>Garcias Las Avenidas</t>
  </si>
  <si>
    <t>Lunch w/ Public Power</t>
  </si>
  <si>
    <t xml:space="preserve">Richardson's </t>
  </si>
  <si>
    <t>Drinks with Kris Polly</t>
  </si>
  <si>
    <t>Are Escapes</t>
  </si>
  <si>
    <t>2022 IEDA Statement of Cashflows</t>
  </si>
  <si>
    <t>Description</t>
  </si>
  <si>
    <t>Amount</t>
  </si>
  <si>
    <t>Opening Balance</t>
  </si>
  <si>
    <t>Transfer from RS Lynch Trust</t>
  </si>
  <si>
    <t>Service Charge</t>
  </si>
  <si>
    <t>Wire Fee for Transfer</t>
  </si>
  <si>
    <t>Deposit</t>
  </si>
  <si>
    <t>2022 Dues - Aguila &amp; Thatcher</t>
  </si>
  <si>
    <t>eDeposit</t>
  </si>
  <si>
    <t>2022 Dues - AEPCO</t>
  </si>
  <si>
    <t>2022 Dues - YID &amp; Yuma Mesa</t>
  </si>
  <si>
    <t>eCheck</t>
  </si>
  <si>
    <t>APPA Annual Dues</t>
  </si>
  <si>
    <t>Check #1002</t>
  </si>
  <si>
    <t>Ed Gerak Expense Check</t>
  </si>
  <si>
    <t>2022 Dues ED8, McMullen, Safford</t>
  </si>
  <si>
    <t>Check #1001</t>
  </si>
  <si>
    <t>Salmon, Lewis &amp; Weldon Legal Bill</t>
  </si>
  <si>
    <t>2022 Dues - Page, RWCD &amp; Harq Q1</t>
  </si>
  <si>
    <t>2022 Q1 Dues, ED6</t>
  </si>
  <si>
    <t>Check #1003</t>
  </si>
  <si>
    <t>Delux (IEDA Checks)</t>
  </si>
  <si>
    <t>2022 Q1 Dues, ED3</t>
  </si>
  <si>
    <t>Check #1004</t>
  </si>
  <si>
    <t>MWD - Nov. &amp; Dec.  Salary &amp; Benefits Reimbursement</t>
  </si>
  <si>
    <t>Check #1005</t>
  </si>
  <si>
    <t>Check #1009</t>
  </si>
  <si>
    <t>Wire Transfer</t>
  </si>
  <si>
    <t>2022 Dues - SRP</t>
  </si>
  <si>
    <t>Check #1007</t>
  </si>
  <si>
    <t>KR Saline Invoice #1553</t>
  </si>
  <si>
    <t>2022 Q1 Dues - ED4</t>
  </si>
  <si>
    <t>2022 Q1 Dues - RID</t>
  </si>
  <si>
    <t>Check #1008</t>
  </si>
  <si>
    <t>Arizona Power Authority Dinner</t>
  </si>
  <si>
    <t>Check #1006</t>
  </si>
  <si>
    <t>MeguireWhitney Jan. 2022 Bill</t>
  </si>
  <si>
    <t>2022 Q1 Dues - ED7</t>
  </si>
  <si>
    <t>Check #1010</t>
  </si>
  <si>
    <t>MWD - Salary &amp; Benefits Reimbursement</t>
  </si>
  <si>
    <t>2022 Q1 Dues - WM &amp; BWCDD</t>
  </si>
  <si>
    <t>Check #1011</t>
  </si>
  <si>
    <t>KR Saline December Invoice #1617</t>
  </si>
  <si>
    <t>2022 Q1 Dues - MWD</t>
  </si>
  <si>
    <t>Check #1013</t>
  </si>
  <si>
    <t>B3 Strategies January Bill</t>
  </si>
  <si>
    <t>Check #1012</t>
  </si>
  <si>
    <t>MeguireWhitney Feb. 2022 Invoice #00685</t>
  </si>
  <si>
    <t>Check #1014</t>
  </si>
  <si>
    <t>B3 Strategies February Bill</t>
  </si>
  <si>
    <t>Reimbursement</t>
  </si>
  <si>
    <t xml:space="preserve">December Rent Reimbursement to IEDA </t>
  </si>
  <si>
    <t>Check #1015</t>
  </si>
  <si>
    <t>Check #1018</t>
  </si>
  <si>
    <t>2022 CAP Dues</t>
  </si>
  <si>
    <t>Check #1016</t>
  </si>
  <si>
    <t>KR Saline &amp; Assoc. Invoice #1707</t>
  </si>
  <si>
    <t>Check #1017</t>
  </si>
  <si>
    <t>Salmon, Lewis &amp; Weldon Invoice 53523</t>
  </si>
  <si>
    <t>Check #1019</t>
  </si>
  <si>
    <t>Arizona Farm Bureau - Annual Meeting Lunch</t>
  </si>
  <si>
    <t>2022 Q1 Dues - Tonopah</t>
  </si>
  <si>
    <t>Check 1020</t>
  </si>
  <si>
    <t>MeguireWhitney March Invoice #00696</t>
  </si>
  <si>
    <t>Check 1021</t>
  </si>
  <si>
    <t>US Treasury (for IRS Non-Profit Determination)</t>
  </si>
  <si>
    <t>Check 1023</t>
  </si>
  <si>
    <t>Check 1024</t>
  </si>
  <si>
    <t>KR Saline &amp; Assoc. Invoice #1748</t>
  </si>
  <si>
    <t>2022 Q2 Dues - HVPD, MWD &amp; WM</t>
  </si>
  <si>
    <t>2022 Q2 Dues - Tonopah</t>
  </si>
  <si>
    <t>Check 1022</t>
  </si>
  <si>
    <t>B3 Strategies - March Invoice 2022-003</t>
  </si>
  <si>
    <t>Check 1026</t>
  </si>
  <si>
    <t>Check 1025</t>
  </si>
  <si>
    <t>Salmon, Lewis &amp; Weldon Invoice 53654</t>
  </si>
  <si>
    <t>2022 Q2 Dues - BWCDD &amp; RID</t>
  </si>
  <si>
    <t>2022 Q2 Dues - ED3, ED7</t>
  </si>
  <si>
    <t>Check 1027</t>
  </si>
  <si>
    <t>MeguireWhitney March Invoice #00708</t>
  </si>
  <si>
    <t>Check 1029</t>
  </si>
  <si>
    <t>Check 1028</t>
  </si>
  <si>
    <t>B3 Strategies - April Invoice 2022-004</t>
  </si>
  <si>
    <t>Check 1030</t>
  </si>
  <si>
    <t>Check 1031</t>
  </si>
  <si>
    <t>KRS April Invoice - 1827</t>
  </si>
  <si>
    <t>Check 1032</t>
  </si>
  <si>
    <t>Void</t>
  </si>
  <si>
    <t>Check 1033</t>
  </si>
  <si>
    <t>SLW Legal Invoice</t>
  </si>
  <si>
    <t>2022 Q2 Dues - ED4</t>
  </si>
  <si>
    <t>Check 1034</t>
  </si>
  <si>
    <t>MW Invoice 0 #00724</t>
  </si>
  <si>
    <t>2022 Q2 Dues - ED6</t>
  </si>
  <si>
    <t>Check 1035</t>
  </si>
  <si>
    <t>B3 Strategies - May Invoice</t>
  </si>
  <si>
    <t>Check 1036</t>
  </si>
  <si>
    <t>Check 1039</t>
  </si>
  <si>
    <t>Salmon, Lewis &amp; Weldon Invoice #53902</t>
  </si>
  <si>
    <t>Check 1040</t>
  </si>
  <si>
    <t>KR Saline Invoice #1932</t>
  </si>
  <si>
    <t>Check 1042</t>
  </si>
  <si>
    <t>Check 1045</t>
  </si>
  <si>
    <t>Check 1037</t>
  </si>
  <si>
    <t>CMUA Western Wine Sponsorship</t>
  </si>
  <si>
    <t>Check 1038</t>
  </si>
  <si>
    <t>Meguire Whitney June Invoice</t>
  </si>
  <si>
    <t>Check 1041</t>
  </si>
  <si>
    <t>Donation on Behalf of Mick James</t>
  </si>
  <si>
    <t>Check 1043</t>
  </si>
  <si>
    <t>B3 Strategies - June Invoice</t>
  </si>
  <si>
    <t>Check 1044</t>
  </si>
  <si>
    <t>GCSECA Split Sponsorship w/ AMPUA</t>
  </si>
  <si>
    <t>Deposits</t>
  </si>
  <si>
    <t>2022 Q3 Dues - BWCDD, HVPD, MWD, TID, WM</t>
  </si>
  <si>
    <t>2022 Q3 Dues - ED4 &amp; ED6</t>
  </si>
  <si>
    <t>Check 1048</t>
  </si>
  <si>
    <t>Salmon, Lewis &amp; Weldon Invoice #54076</t>
  </si>
  <si>
    <t>Check 1049</t>
  </si>
  <si>
    <t>2022 Q3 Dues - RID</t>
  </si>
  <si>
    <t>Check 1047</t>
  </si>
  <si>
    <t>KR Saline Invoice #1968</t>
  </si>
  <si>
    <t>2022 Q3 Dues - ED7</t>
  </si>
  <si>
    <t>Check 1046</t>
  </si>
  <si>
    <t>Meguire Whitney July Invoice</t>
  </si>
  <si>
    <t>Check 1051</t>
  </si>
  <si>
    <t>Check 1050</t>
  </si>
  <si>
    <t>B3 Strategies -July Invoice</t>
  </si>
  <si>
    <t>Check 1052</t>
  </si>
  <si>
    <t>KR Saline Invoice #2034</t>
  </si>
  <si>
    <t>Check 1055</t>
  </si>
  <si>
    <t>Check 1054</t>
  </si>
  <si>
    <t>Salmon, Lewis &amp; Weldon Invoice #54216</t>
  </si>
  <si>
    <t>2022 Q3 Dues - ED3</t>
  </si>
  <si>
    <t>Check 1058</t>
  </si>
  <si>
    <t>Check 1053</t>
  </si>
  <si>
    <t>Meguire Whitney August Invoice</t>
  </si>
  <si>
    <t>Check 1056</t>
  </si>
  <si>
    <t>Room Charge - Flagstaff IEDA Meeting</t>
  </si>
  <si>
    <t>Check 1057</t>
  </si>
  <si>
    <t>B3 Strategies -August Invoice</t>
  </si>
  <si>
    <t>Check 1059</t>
  </si>
  <si>
    <t>Check 1060</t>
  </si>
  <si>
    <t>KR Saline Invoice #2108</t>
  </si>
  <si>
    <t>Check 1062</t>
  </si>
  <si>
    <t>B3 Strategies -September Invoice</t>
  </si>
  <si>
    <t>2022 Q4 Dues - Wellton-Mohawk</t>
  </si>
  <si>
    <t>Check 1061</t>
  </si>
  <si>
    <t>Meguire Whitney September Invoice</t>
  </si>
  <si>
    <t>2022 Q4 Dues - ED6 &amp; 2022 SCIP Dues</t>
  </si>
  <si>
    <t>In Account</t>
  </si>
  <si>
    <t>Pending Checks</t>
  </si>
  <si>
    <t>Check 1063</t>
  </si>
  <si>
    <t>KR Saline Invoice #2176</t>
  </si>
  <si>
    <t>After Liabilities</t>
  </si>
  <si>
    <t>Check 1064</t>
  </si>
  <si>
    <t>Check 1065</t>
  </si>
  <si>
    <t>Check 1066</t>
  </si>
  <si>
    <t>Salmon, Lewis &amp; Weldon</t>
  </si>
  <si>
    <t>Meguire Whitney October Invoice</t>
  </si>
  <si>
    <t>2022 Q4 Dues - BID &amp; Tonopah</t>
  </si>
  <si>
    <t>2022 Q4 Dues - RID</t>
  </si>
  <si>
    <t xml:space="preserve">2022 Q4 Dues - ED4 &amp; </t>
  </si>
  <si>
    <t>Check 1067</t>
  </si>
  <si>
    <t>Hotel-Little America</t>
  </si>
  <si>
    <t>Room Charge w/ APA</t>
  </si>
  <si>
    <t>YTD Expenses</t>
  </si>
  <si>
    <t>Approx. 2022 Opening Balance</t>
  </si>
  <si>
    <t>Total Dues</t>
  </si>
  <si>
    <t>Excess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</si>
</sst>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4" fontId="2" fillId="0" borderId="0" xfId="0" applyNumberFormat="1" applyFont="1"/>
    <xf numFmtId="44" fontId="2" fillId="0" borderId="0" xfId="1" applyFont="1"/>
    <xf numFmtId="14" fontId="0" fillId="0" borderId="0" xfId="0" applyNumberFormat="1"/>
    <xf numFmtId="1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44" fontId="0" fillId="0" borderId="0" xfId="0" applyNumberFormat="1"/>
    <xf numFmtId="44" fontId="0" fillId="0" borderId="1" xfId="1" applyNumberFormat="1" applyFont="1" applyFill="1" applyBorder="1"/>
    <xf numFmtId="44" fontId="0" fillId="0" borderId="0" xfId="1" applyNumberFormat="1" applyFont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0" xfId="0"/>
    <xf numFmtId="9" fontId="0" fillId="0" borderId="0" xfId="2" applyFont="1"/>
    <xf numFmtId="0" fontId="0" fillId="0" borderId="1" xfId="0" applyBorder="1"/>
    <xf numFmtId="164" fontId="0" fillId="0" borderId="0" xfId="2" applyNumberFormat="1" applyFont="1"/>
    <xf numFmtId="165" fontId="0" fillId="0" borderId="1" xfId="1" applyNumberFormat="1" applyFont="1" applyBorder="1"/>
    <xf numFmtId="165" fontId="0" fillId="0" borderId="0" xfId="1" applyNumberFormat="1" applyFont="1"/>
    <xf numFmtId="0" fontId="0" fillId="0" borderId="0" xfId="0" applyFill="1" applyBorder="1"/>
    <xf numFmtId="0" fontId="0" fillId="0" borderId="2" xfId="0" applyFill="1" applyBorder="1"/>
    <xf numFmtId="44" fontId="0" fillId="0" borderId="1" xfId="1" applyFont="1" applyFill="1" applyBorder="1"/>
    <xf numFmtId="14" fontId="0" fillId="0" borderId="1" xfId="0" applyNumberFormat="1" applyBorder="1"/>
    <xf numFmtId="44" fontId="0" fillId="0" borderId="1" xfId="1" applyFont="1" applyBorder="1"/>
    <xf numFmtId="44" fontId="0" fillId="0" borderId="0" xfId="1" applyFont="1"/>
    <xf numFmtId="44" fontId="0" fillId="2" borderId="1" xfId="1" applyFont="1" applyFill="1" applyBorder="1"/>
    <xf numFmtId="0" fontId="0" fillId="3" borderId="1" xfId="0" applyFill="1" applyBorder="1"/>
    <xf numFmtId="0" fontId="0" fillId="0" borderId="0" xfId="0" applyBorder="1"/>
    <xf numFmtId="0" fontId="0" fillId="3" borderId="0" xfId="0" applyFill="1"/>
    <xf numFmtId="0" fontId="0" fillId="4" borderId="2" xfId="0" applyFill="1" applyBorder="1"/>
    <xf numFmtId="0" fontId="0" fillId="4" borderId="0" xfId="0" applyFill="1"/>
    <xf numFmtId="0" fontId="0" fillId="4" borderId="0" xfId="0" applyFill="1" applyBorder="1"/>
    <xf numFmtId="0" fontId="0" fillId="3" borderId="0" xfId="0" applyFill="1" applyBorder="1"/>
    <xf numFmtId="0" fontId="0" fillId="5" borderId="0" xfId="0" applyFill="1"/>
    <xf numFmtId="0" fontId="2" fillId="0" borderId="1" xfId="0" applyFont="1" applyBorder="1"/>
    <xf numFmtId="44" fontId="2" fillId="0" borderId="1" xfId="1" applyFont="1" applyBorder="1"/>
    <xf numFmtId="44" fontId="2" fillId="0" borderId="1" xfId="0" applyNumberFormat="1" applyFont="1" applyBorder="1"/>
    <xf numFmtId="44" fontId="0" fillId="0" borderId="1" xfId="0" applyNumberFormat="1" applyBorder="1"/>
    <xf numFmtId="14" fontId="0" fillId="0" borderId="0" xfId="0" applyNumberFormat="1" applyFill="1" applyBorder="1"/>
    <xf numFmtId="44" fontId="0" fillId="0" borderId="0" xfId="1" applyNumberFormat="1" applyFont="1" applyFill="1" applyBorder="1"/>
    <xf numFmtId="8" fontId="0" fillId="0" borderId="1" xfId="1" applyNumberFormat="1" applyFont="1" applyBorder="1"/>
    <xf numFmtId="44" fontId="0" fillId="0" borderId="0" xfId="0" applyNumberFormat="1" applyBorder="1"/>
    <xf numFmtId="44" fontId="0" fillId="0" borderId="0" xfId="1" applyFont="1" applyBorder="1"/>
    <xf numFmtId="8" fontId="0" fillId="0" borderId="1" xfId="0" applyNumberFormat="1" applyBorder="1"/>
    <xf numFmtId="14" fontId="0" fillId="0" borderId="1" xfId="1" applyNumberFormat="1" applyFont="1" applyFill="1" applyBorder="1"/>
    <xf numFmtId="44" fontId="0" fillId="0" borderId="1" xfId="0" applyNumberFormat="1" applyFill="1" applyBorder="1"/>
    <xf numFmtId="44" fontId="0" fillId="0" borderId="2" xfId="1" applyNumberFormat="1" applyFont="1" applyFill="1" applyBorder="1"/>
    <xf numFmtId="0" fontId="2" fillId="0" borderId="0" xfId="0" applyFont="1" applyFill="1"/>
    <xf numFmtId="14" fontId="2" fillId="6" borderId="0" xfId="0" applyNumberFormat="1" applyFont="1" applyFill="1"/>
    <xf numFmtId="0" fontId="2" fillId="6" borderId="0" xfId="0" applyFont="1" applyFill="1"/>
    <xf numFmtId="44" fontId="2" fillId="6" borderId="0" xfId="1" applyFont="1" applyFill="1"/>
    <xf numFmtId="44" fontId="2" fillId="0" borderId="0" xfId="0" applyNumberFormat="1" applyFont="1"/>
    <xf numFmtId="14" fontId="2" fillId="7" borderId="0" xfId="0" applyNumberFormat="1" applyFont="1" applyFill="1"/>
    <xf numFmtId="0" fontId="2" fillId="7" borderId="0" xfId="0" applyFont="1" applyFill="1"/>
    <xf numFmtId="44" fontId="2" fillId="7" borderId="0" xfId="1" applyFont="1" applyFill="1"/>
    <xf numFmtId="14" fontId="7" fillId="6" borderId="0" xfId="0" applyNumberFormat="1" applyFont="1" applyFill="1"/>
    <xf numFmtId="0" fontId="7" fillId="6" borderId="0" xfId="0" applyFont="1" applyFill="1"/>
    <xf numFmtId="44" fontId="7" fillId="6" borderId="0" xfId="1" applyFont="1" applyFill="1"/>
    <xf numFmtId="0" fontId="2" fillId="0" borderId="3" xfId="0" applyFont="1" applyBorder="1"/>
    <xf numFmtId="44" fontId="2" fillId="0" borderId="3" xfId="1" applyFont="1" applyBorder="1"/>
    <xf numFmtId="14" fontId="2" fillId="0" borderId="0" xfId="0" applyNumberFormat="1" applyFont="1" applyFill="1"/>
    <xf numFmtId="44" fontId="2" fillId="0" borderId="0" xfId="1" applyFont="1" applyFill="1"/>
    <xf numFmtId="44" fontId="2" fillId="3" borderId="1" xfId="1" applyFont="1" applyFill="1" applyBorder="1"/>
    <xf numFmtId="0" fontId="2" fillId="3" borderId="1" xfId="0" applyFont="1" applyFill="1" applyBorder="1"/>
    <xf numFmtId="14" fontId="0" fillId="0" borderId="0" xfId="0" applyNumberFormat="1" applyBorder="1"/>
    <xf numFmtId="8" fontId="0" fillId="0" borderId="0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Currency" xfId="1" builtinId="4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opLeftCell="A95" zoomScale="110" zoomScaleNormal="110" workbookViewId="0">
      <selection activeCell="C106" activeCellId="6" sqref="C46:C47 C57 C59 C60:C67 C68 C98 C106"/>
    </sheetView>
  </sheetViews>
  <sheetFormatPr defaultRowHeight="21" x14ac:dyDescent="0.35"/>
  <cols>
    <col min="1" max="1" width="16.85546875" style="1" bestFit="1" customWidth="1"/>
    <col min="2" max="2" width="22.140625" style="1" bestFit="1" customWidth="1"/>
    <col min="3" max="3" width="22.140625" style="3" bestFit="1" customWidth="1"/>
    <col min="4" max="4" width="69" style="1" bestFit="1" customWidth="1"/>
    <col min="5" max="5" width="9.140625" style="1"/>
    <col min="6" max="6" width="18.140625" style="1" bestFit="1" customWidth="1"/>
    <col min="7" max="7" width="29.28515625" style="1" bestFit="1" customWidth="1"/>
    <col min="8" max="11" width="9.140625" style="1"/>
    <col min="12" max="16384" width="9.140625" style="15"/>
  </cols>
  <sheetData>
    <row r="1" spans="1:6" x14ac:dyDescent="0.35">
      <c r="A1" s="68" t="s">
        <v>365</v>
      </c>
      <c r="B1" s="69"/>
      <c r="C1" s="69"/>
      <c r="D1" s="69"/>
      <c r="E1" s="69"/>
      <c r="F1" s="69"/>
    </row>
    <row r="3" spans="1:6" x14ac:dyDescent="0.35">
      <c r="A3" s="1" t="s">
        <v>0</v>
      </c>
      <c r="B3" s="1" t="s">
        <v>366</v>
      </c>
      <c r="C3" s="3" t="s">
        <v>367</v>
      </c>
      <c r="D3" s="1" t="s">
        <v>1</v>
      </c>
    </row>
    <row r="4" spans="1:6" hidden="1" x14ac:dyDescent="0.35">
      <c r="A4" s="2">
        <v>44498</v>
      </c>
      <c r="B4" s="1" t="s">
        <v>368</v>
      </c>
      <c r="C4" s="3">
        <v>148109.13</v>
      </c>
      <c r="D4" s="1" t="s">
        <v>369</v>
      </c>
    </row>
    <row r="5" spans="1:6" hidden="1" x14ac:dyDescent="0.35">
      <c r="A5" s="2">
        <v>44498</v>
      </c>
      <c r="B5" s="1" t="s">
        <v>370</v>
      </c>
      <c r="C5" s="3">
        <v>-15</v>
      </c>
      <c r="D5" s="1" t="s">
        <v>371</v>
      </c>
    </row>
    <row r="6" spans="1:6" hidden="1" x14ac:dyDescent="0.35">
      <c r="A6" s="2">
        <v>44516</v>
      </c>
      <c r="B6" s="1" t="s">
        <v>372</v>
      </c>
      <c r="C6" s="3">
        <v>11000</v>
      </c>
      <c r="D6" s="1" t="s">
        <v>373</v>
      </c>
    </row>
    <row r="7" spans="1:6" hidden="1" x14ac:dyDescent="0.35">
      <c r="A7" s="2">
        <v>44516</v>
      </c>
      <c r="B7" s="49" t="s">
        <v>374</v>
      </c>
      <c r="C7" s="3">
        <v>38000</v>
      </c>
      <c r="D7" s="1" t="s">
        <v>375</v>
      </c>
    </row>
    <row r="8" spans="1:6" hidden="1" x14ac:dyDescent="0.35">
      <c r="A8" s="2">
        <v>44523</v>
      </c>
      <c r="B8" s="1" t="s">
        <v>372</v>
      </c>
      <c r="C8" s="3">
        <v>5000</v>
      </c>
      <c r="D8" s="1" t="s">
        <v>376</v>
      </c>
    </row>
    <row r="9" spans="1:6" hidden="1" x14ac:dyDescent="0.35">
      <c r="A9" s="2">
        <v>44524</v>
      </c>
      <c r="B9" s="1" t="s">
        <v>377</v>
      </c>
      <c r="C9" s="3">
        <v>-700</v>
      </c>
      <c r="D9" s="1" t="s">
        <v>378</v>
      </c>
    </row>
    <row r="10" spans="1:6" hidden="1" x14ac:dyDescent="0.35">
      <c r="A10" s="2">
        <v>44529</v>
      </c>
      <c r="B10" s="1" t="s">
        <v>379</v>
      </c>
      <c r="C10" s="3">
        <v>-2310.8200000000002</v>
      </c>
      <c r="D10" s="1" t="s">
        <v>380</v>
      </c>
    </row>
    <row r="11" spans="1:6" hidden="1" x14ac:dyDescent="0.35">
      <c r="A11" s="2">
        <v>44531</v>
      </c>
      <c r="B11" s="1" t="s">
        <v>372</v>
      </c>
      <c r="C11" s="3">
        <v>40500</v>
      </c>
      <c r="D11" s="1" t="s">
        <v>381</v>
      </c>
    </row>
    <row r="12" spans="1:6" hidden="1" x14ac:dyDescent="0.35">
      <c r="A12" s="2">
        <v>44533</v>
      </c>
      <c r="B12" s="1" t="s">
        <v>382</v>
      </c>
      <c r="C12" s="3">
        <v>-10581.81</v>
      </c>
      <c r="D12" s="1" t="s">
        <v>383</v>
      </c>
    </row>
    <row r="13" spans="1:6" hidden="1" x14ac:dyDescent="0.35">
      <c r="A13" s="2">
        <v>44546</v>
      </c>
      <c r="B13" s="1" t="s">
        <v>372</v>
      </c>
      <c r="C13" s="3">
        <v>23125</v>
      </c>
      <c r="D13" s="1" t="s">
        <v>384</v>
      </c>
    </row>
    <row r="14" spans="1:6" hidden="1" x14ac:dyDescent="0.35">
      <c r="A14" s="2">
        <v>44550</v>
      </c>
      <c r="B14" s="1" t="s">
        <v>372</v>
      </c>
      <c r="C14" s="3">
        <v>10562.5</v>
      </c>
      <c r="D14" s="1" t="s">
        <v>385</v>
      </c>
    </row>
    <row r="15" spans="1:6" hidden="1" x14ac:dyDescent="0.35">
      <c r="A15" s="2">
        <v>44550</v>
      </c>
      <c r="B15" s="1" t="s">
        <v>386</v>
      </c>
      <c r="C15" s="3">
        <v>-341.74</v>
      </c>
      <c r="D15" s="1" t="s">
        <v>387</v>
      </c>
    </row>
    <row r="16" spans="1:6" hidden="1" x14ac:dyDescent="0.35">
      <c r="A16" s="2">
        <v>44557</v>
      </c>
      <c r="B16" s="1" t="s">
        <v>372</v>
      </c>
      <c r="C16" s="3">
        <v>21250</v>
      </c>
      <c r="D16" s="1" t="s">
        <v>388</v>
      </c>
    </row>
    <row r="17" spans="1:7" hidden="1" x14ac:dyDescent="0.35">
      <c r="A17" s="2">
        <v>44558</v>
      </c>
      <c r="B17" s="1" t="s">
        <v>389</v>
      </c>
      <c r="C17" s="3">
        <v>-40284.83</v>
      </c>
      <c r="D17" s="1" t="s">
        <v>390</v>
      </c>
    </row>
    <row r="18" spans="1:7" hidden="1" x14ac:dyDescent="0.35">
      <c r="A18" s="2">
        <v>44558</v>
      </c>
      <c r="B18" s="1" t="s">
        <v>391</v>
      </c>
      <c r="C18" s="3">
        <v>-10472.85</v>
      </c>
      <c r="D18" s="1" t="s">
        <v>383</v>
      </c>
    </row>
    <row r="19" spans="1:7" hidden="1" x14ac:dyDescent="0.35">
      <c r="A19" s="2">
        <v>44559</v>
      </c>
      <c r="B19" s="1" t="s">
        <v>392</v>
      </c>
      <c r="C19" s="3">
        <v>-2704.99</v>
      </c>
      <c r="D19" s="1" t="s">
        <v>380</v>
      </c>
    </row>
    <row r="20" spans="1:7" hidden="1" x14ac:dyDescent="0.35">
      <c r="A20" s="2">
        <v>44560</v>
      </c>
      <c r="B20" s="1" t="s">
        <v>393</v>
      </c>
      <c r="C20" s="3">
        <v>30449.439999999999</v>
      </c>
      <c r="D20" s="1" t="s">
        <v>369</v>
      </c>
    </row>
    <row r="21" spans="1:7" hidden="1" x14ac:dyDescent="0.35">
      <c r="A21" s="2">
        <v>44560</v>
      </c>
      <c r="B21" s="1" t="s">
        <v>377</v>
      </c>
      <c r="C21" s="3">
        <v>50000</v>
      </c>
      <c r="D21" s="1" t="s">
        <v>394</v>
      </c>
    </row>
    <row r="22" spans="1:7" hidden="1" x14ac:dyDescent="0.35">
      <c r="A22" s="2">
        <v>44561</v>
      </c>
      <c r="B22" s="1" t="s">
        <v>370</v>
      </c>
      <c r="C22" s="3">
        <v>-15</v>
      </c>
      <c r="D22" s="1" t="s">
        <v>371</v>
      </c>
    </row>
    <row r="23" spans="1:7" x14ac:dyDescent="0.35">
      <c r="A23" s="54">
        <v>44614</v>
      </c>
      <c r="B23" s="55" t="s">
        <v>372</v>
      </c>
      <c r="C23" s="56">
        <v>50000</v>
      </c>
      <c r="D23" s="55" t="s">
        <v>420</v>
      </c>
      <c r="F23" s="53">
        <v>85231.15</v>
      </c>
      <c r="G23" s="1" t="s">
        <v>156</v>
      </c>
    </row>
    <row r="24" spans="1:7" x14ac:dyDescent="0.35">
      <c r="A24" s="54">
        <v>44566</v>
      </c>
      <c r="B24" s="55" t="s">
        <v>372</v>
      </c>
      <c r="C24" s="56">
        <v>19375</v>
      </c>
      <c r="D24" s="55" t="s">
        <v>397</v>
      </c>
    </row>
    <row r="25" spans="1:7" x14ac:dyDescent="0.35">
      <c r="A25" s="54">
        <v>44575</v>
      </c>
      <c r="B25" s="55" t="s">
        <v>372</v>
      </c>
      <c r="C25" s="56">
        <v>11500</v>
      </c>
      <c r="D25" s="55" t="s">
        <v>403</v>
      </c>
    </row>
    <row r="26" spans="1:7" x14ac:dyDescent="0.35">
      <c r="A26" s="54">
        <v>44593</v>
      </c>
      <c r="B26" s="55" t="s">
        <v>372</v>
      </c>
      <c r="C26" s="56">
        <v>11250</v>
      </c>
      <c r="D26" s="55" t="s">
        <v>409</v>
      </c>
    </row>
    <row r="27" spans="1:7" x14ac:dyDescent="0.35">
      <c r="A27" s="54">
        <v>44571</v>
      </c>
      <c r="B27" s="55" t="s">
        <v>372</v>
      </c>
      <c r="C27" s="56">
        <v>5625</v>
      </c>
      <c r="D27" s="55" t="s">
        <v>398</v>
      </c>
    </row>
    <row r="28" spans="1:7" x14ac:dyDescent="0.35">
      <c r="A28" s="54">
        <v>44617</v>
      </c>
      <c r="B28" s="55" t="s">
        <v>372</v>
      </c>
      <c r="C28" s="56">
        <v>1500</v>
      </c>
      <c r="D28" s="55" t="s">
        <v>427</v>
      </c>
    </row>
    <row r="29" spans="1:7" x14ac:dyDescent="0.35">
      <c r="A29" s="54">
        <v>44585</v>
      </c>
      <c r="B29" s="55" t="s">
        <v>372</v>
      </c>
      <c r="C29" s="56">
        <v>9163</v>
      </c>
      <c r="D29" s="55" t="s">
        <v>406</v>
      </c>
    </row>
    <row r="30" spans="1:7" x14ac:dyDescent="0.35">
      <c r="A30" s="54">
        <v>44644</v>
      </c>
      <c r="B30" s="55" t="s">
        <v>372</v>
      </c>
      <c r="C30" s="56">
        <v>7913</v>
      </c>
      <c r="D30" s="55" t="s">
        <v>442</v>
      </c>
    </row>
    <row r="31" spans="1:7" x14ac:dyDescent="0.35">
      <c r="A31" s="54">
        <v>44650</v>
      </c>
      <c r="B31" s="55" t="s">
        <v>372</v>
      </c>
      <c r="C31" s="56">
        <v>42750</v>
      </c>
      <c r="D31" s="55" t="s">
        <v>443</v>
      </c>
    </row>
    <row r="32" spans="1:7" x14ac:dyDescent="0.35">
      <c r="A32" s="54">
        <v>44673</v>
      </c>
      <c r="B32" s="55" t="s">
        <v>372</v>
      </c>
      <c r="C32" s="56">
        <v>19375</v>
      </c>
      <c r="D32" s="55" t="s">
        <v>456</v>
      </c>
    </row>
    <row r="33" spans="1:4" x14ac:dyDescent="0.35">
      <c r="A33" s="54">
        <v>44686</v>
      </c>
      <c r="B33" s="55" t="s">
        <v>372</v>
      </c>
      <c r="C33" s="56">
        <v>10562.5</v>
      </c>
      <c r="D33" s="55" t="s">
        <v>459</v>
      </c>
    </row>
    <row r="34" spans="1:4" x14ac:dyDescent="0.35">
      <c r="A34" s="54">
        <v>44635</v>
      </c>
      <c r="B34" s="55" t="s">
        <v>372</v>
      </c>
      <c r="C34" s="56">
        <v>20250</v>
      </c>
      <c r="D34" s="55" t="s">
        <v>435</v>
      </c>
    </row>
    <row r="35" spans="1:4" x14ac:dyDescent="0.35">
      <c r="A35" s="54">
        <v>44638</v>
      </c>
      <c r="B35" s="55" t="s">
        <v>372</v>
      </c>
      <c r="C35" s="56">
        <v>1500</v>
      </c>
      <c r="D35" s="55" t="s">
        <v>436</v>
      </c>
    </row>
    <row r="36" spans="1:4" x14ac:dyDescent="0.35">
      <c r="A36" s="54">
        <v>44728</v>
      </c>
      <c r="B36" s="55" t="s">
        <v>479</v>
      </c>
      <c r="C36" s="56">
        <v>27943</v>
      </c>
      <c r="D36" s="55" t="s">
        <v>480</v>
      </c>
    </row>
    <row r="37" spans="1:4" x14ac:dyDescent="0.35">
      <c r="A37" s="54">
        <v>44774</v>
      </c>
      <c r="B37" s="55" t="s">
        <v>372</v>
      </c>
      <c r="C37" s="56">
        <v>24702</v>
      </c>
      <c r="D37" s="55" t="s">
        <v>499</v>
      </c>
    </row>
    <row r="38" spans="1:4" x14ac:dyDescent="0.35">
      <c r="A38" s="54">
        <v>44733</v>
      </c>
      <c r="B38" s="55" t="s">
        <v>479</v>
      </c>
      <c r="C38" s="56">
        <v>34800</v>
      </c>
      <c r="D38" s="55" t="s">
        <v>481</v>
      </c>
    </row>
    <row r="39" spans="1:4" x14ac:dyDescent="0.35">
      <c r="A39" s="54">
        <v>44747</v>
      </c>
      <c r="B39" s="55" t="s">
        <v>372</v>
      </c>
      <c r="C39" s="56">
        <v>13368</v>
      </c>
      <c r="D39" s="55" t="s">
        <v>488</v>
      </c>
    </row>
    <row r="40" spans="1:4" x14ac:dyDescent="0.35">
      <c r="A40" s="54">
        <v>44735</v>
      </c>
      <c r="B40" s="55" t="s">
        <v>372</v>
      </c>
      <c r="C40" s="56">
        <v>6539</v>
      </c>
      <c r="D40" s="55" t="s">
        <v>485</v>
      </c>
    </row>
    <row r="41" spans="1:4" x14ac:dyDescent="0.35">
      <c r="A41" s="54">
        <v>44823</v>
      </c>
      <c r="B41" s="55" t="s">
        <v>372</v>
      </c>
      <c r="C41" s="56">
        <v>4404</v>
      </c>
      <c r="D41" s="55" t="s">
        <v>526</v>
      </c>
    </row>
    <row r="42" spans="1:4" x14ac:dyDescent="0.35">
      <c r="A42" s="54">
        <v>44833</v>
      </c>
      <c r="B42" s="55" t="s">
        <v>372</v>
      </c>
      <c r="C42" s="56">
        <v>35890</v>
      </c>
      <c r="D42" s="55" t="s">
        <v>528</v>
      </c>
    </row>
    <row r="43" spans="1:4" x14ac:dyDescent="0.35">
      <c r="A43" s="54">
        <v>44819</v>
      </c>
      <c r="B43" s="55" t="s">
        <v>372</v>
      </c>
      <c r="C43" s="56">
        <v>42278</v>
      </c>
      <c r="D43" s="55" t="s">
        <v>515</v>
      </c>
    </row>
    <row r="44" spans="1:4" x14ac:dyDescent="0.35">
      <c r="A44" s="54">
        <v>44830</v>
      </c>
      <c r="B44" s="55" t="s">
        <v>372</v>
      </c>
      <c r="C44" s="56">
        <v>6539</v>
      </c>
      <c r="D44" s="55" t="s">
        <v>527</v>
      </c>
    </row>
    <row r="45" spans="1:4" x14ac:dyDescent="0.35">
      <c r="A45" s="54">
        <v>44810</v>
      </c>
      <c r="B45" s="55" t="s">
        <v>372</v>
      </c>
      <c r="C45" s="56">
        <v>7992</v>
      </c>
      <c r="D45" s="55" t="s">
        <v>512</v>
      </c>
    </row>
    <row r="46" spans="1:4" x14ac:dyDescent="0.35">
      <c r="A46" s="50">
        <v>44615</v>
      </c>
      <c r="B46" s="51" t="s">
        <v>425</v>
      </c>
      <c r="C46" s="52">
        <v>-134.38</v>
      </c>
      <c r="D46" s="51" t="s">
        <v>426</v>
      </c>
    </row>
    <row r="47" spans="1:4" x14ac:dyDescent="0.35">
      <c r="A47" s="50">
        <v>44571</v>
      </c>
      <c r="B47" s="51" t="s">
        <v>399</v>
      </c>
      <c r="C47" s="52">
        <v>-85</v>
      </c>
      <c r="D47" s="51" t="s">
        <v>400</v>
      </c>
    </row>
    <row r="48" spans="1:4" x14ac:dyDescent="0.35">
      <c r="A48" s="57">
        <v>44659</v>
      </c>
      <c r="B48" s="58" t="s">
        <v>447</v>
      </c>
      <c r="C48" s="59">
        <v>-5000</v>
      </c>
      <c r="D48" s="58" t="s">
        <v>448</v>
      </c>
    </row>
    <row r="49" spans="1:4" x14ac:dyDescent="0.35">
      <c r="A49" s="50">
        <v>44719</v>
      </c>
      <c r="B49" s="51" t="s">
        <v>475</v>
      </c>
      <c r="C49" s="52">
        <v>-5000</v>
      </c>
      <c r="D49" s="51" t="s">
        <v>476</v>
      </c>
    </row>
    <row r="50" spans="1:4" x14ac:dyDescent="0.35">
      <c r="A50" s="50">
        <v>44638</v>
      </c>
      <c r="B50" s="51" t="s">
        <v>437</v>
      </c>
      <c r="C50" s="52">
        <v>-5000</v>
      </c>
      <c r="D50" s="51" t="s">
        <v>438</v>
      </c>
    </row>
    <row r="51" spans="1:4" x14ac:dyDescent="0.35">
      <c r="A51" s="50">
        <v>44687</v>
      </c>
      <c r="B51" s="51" t="s">
        <v>460</v>
      </c>
      <c r="C51" s="52">
        <v>-5000</v>
      </c>
      <c r="D51" s="51" t="s">
        <v>461</v>
      </c>
    </row>
    <row r="52" spans="1:4" x14ac:dyDescent="0.35">
      <c r="A52" s="50">
        <v>44782</v>
      </c>
      <c r="B52" s="51" t="s">
        <v>505</v>
      </c>
      <c r="C52" s="52">
        <v>-5000</v>
      </c>
      <c r="D52" s="51" t="s">
        <v>506</v>
      </c>
    </row>
    <row r="53" spans="1:4" x14ac:dyDescent="0.35">
      <c r="A53" s="50">
        <v>44594</v>
      </c>
      <c r="B53" s="51" t="s">
        <v>414</v>
      </c>
      <c r="C53" s="52">
        <v>-5000</v>
      </c>
      <c r="D53" s="51" t="s">
        <v>415</v>
      </c>
    </row>
    <row r="54" spans="1:4" x14ac:dyDescent="0.35">
      <c r="A54" s="50">
        <v>44593</v>
      </c>
      <c r="B54" s="51" t="s">
        <v>410</v>
      </c>
      <c r="C54" s="52">
        <v>-5000</v>
      </c>
      <c r="D54" s="51" t="s">
        <v>411</v>
      </c>
    </row>
    <row r="55" spans="1:4" x14ac:dyDescent="0.35">
      <c r="A55" s="50">
        <v>44750</v>
      </c>
      <c r="B55" s="51" t="s">
        <v>492</v>
      </c>
      <c r="C55" s="52">
        <v>-5000</v>
      </c>
      <c r="D55" s="51" t="s">
        <v>493</v>
      </c>
    </row>
    <row r="56" spans="1:4" x14ac:dyDescent="0.35">
      <c r="A56" s="50">
        <v>44806</v>
      </c>
      <c r="B56" s="51" t="s">
        <v>510</v>
      </c>
      <c r="C56" s="52">
        <v>-5000</v>
      </c>
      <c r="D56" s="51" t="s">
        <v>511</v>
      </c>
    </row>
    <row r="57" spans="1:4" x14ac:dyDescent="0.35">
      <c r="A57" s="50">
        <v>44714</v>
      </c>
      <c r="B57" s="51" t="s">
        <v>469</v>
      </c>
      <c r="C57" s="52">
        <v>-815.74</v>
      </c>
      <c r="D57" s="51" t="s">
        <v>470</v>
      </c>
    </row>
    <row r="58" spans="1:4" x14ac:dyDescent="0.35">
      <c r="A58" s="54">
        <v>44599</v>
      </c>
      <c r="B58" s="55" t="s">
        <v>416</v>
      </c>
      <c r="C58" s="56">
        <v>3907.12</v>
      </c>
      <c r="D58" s="55" t="s">
        <v>417</v>
      </c>
    </row>
    <row r="59" spans="1:4" x14ac:dyDescent="0.35">
      <c r="A59" s="50">
        <v>44719</v>
      </c>
      <c r="B59" s="51" t="s">
        <v>473</v>
      </c>
      <c r="C59" s="52">
        <v>-500</v>
      </c>
      <c r="D59" s="51" t="s">
        <v>474</v>
      </c>
    </row>
    <row r="60" spans="1:4" x14ac:dyDescent="0.35">
      <c r="A60" s="50">
        <v>44599</v>
      </c>
      <c r="B60" s="51" t="s">
        <v>418</v>
      </c>
      <c r="C60" s="52">
        <v>-1471.89</v>
      </c>
      <c r="D60" s="51" t="s">
        <v>380</v>
      </c>
    </row>
    <row r="61" spans="1:4" x14ac:dyDescent="0.35">
      <c r="A61" s="50">
        <v>44627</v>
      </c>
      <c r="B61" s="51" t="s">
        <v>432</v>
      </c>
      <c r="C61" s="52">
        <v>-3295.26</v>
      </c>
      <c r="D61" s="51" t="s">
        <v>380</v>
      </c>
    </row>
    <row r="62" spans="1:4" x14ac:dyDescent="0.35">
      <c r="A62" s="57">
        <v>44656</v>
      </c>
      <c r="B62" s="58" t="s">
        <v>446</v>
      </c>
      <c r="C62" s="59">
        <v>-2900.5</v>
      </c>
      <c r="D62" s="58" t="s">
        <v>380</v>
      </c>
    </row>
    <row r="63" spans="1:4" x14ac:dyDescent="0.35">
      <c r="A63" s="50">
        <v>44691</v>
      </c>
      <c r="B63" s="51" t="s">
        <v>462</v>
      </c>
      <c r="C63" s="52">
        <v>-3205.41</v>
      </c>
      <c r="D63" s="51" t="s">
        <v>380</v>
      </c>
    </row>
    <row r="64" spans="1:4" x14ac:dyDescent="0.35">
      <c r="A64" s="50">
        <v>44713</v>
      </c>
      <c r="B64" s="51" t="s">
        <v>468</v>
      </c>
      <c r="C64" s="52">
        <v>-2277.71</v>
      </c>
      <c r="D64" s="51" t="s">
        <v>380</v>
      </c>
    </row>
    <row r="65" spans="1:11" x14ac:dyDescent="0.35">
      <c r="A65" s="50">
        <v>44748</v>
      </c>
      <c r="B65" s="51" t="s">
        <v>491</v>
      </c>
      <c r="C65" s="52">
        <v>-3319.32</v>
      </c>
      <c r="D65" s="51" t="s">
        <v>380</v>
      </c>
    </row>
    <row r="66" spans="1:11" x14ac:dyDescent="0.35">
      <c r="A66" s="50">
        <v>44777</v>
      </c>
      <c r="B66" s="51" t="s">
        <v>500</v>
      </c>
      <c r="C66" s="52">
        <v>-3859.66</v>
      </c>
      <c r="D66" s="51" t="s">
        <v>380</v>
      </c>
    </row>
    <row r="67" spans="1:11" x14ac:dyDescent="0.35">
      <c r="A67" s="50">
        <v>44820</v>
      </c>
      <c r="B67" s="51" t="s">
        <v>518</v>
      </c>
      <c r="C67" s="52">
        <v>-1634.26</v>
      </c>
      <c r="D67" s="51" t="s">
        <v>380</v>
      </c>
    </row>
    <row r="68" spans="1:11" x14ac:dyDescent="0.35">
      <c r="A68" s="50">
        <v>44722</v>
      </c>
      <c r="B68" s="51" t="s">
        <v>477</v>
      </c>
      <c r="C68" s="52">
        <v>-1500</v>
      </c>
      <c r="D68" s="51" t="s">
        <v>478</v>
      </c>
    </row>
    <row r="69" spans="1:11" x14ac:dyDescent="0.35">
      <c r="A69" s="50">
        <v>44614</v>
      </c>
      <c r="B69" s="51" t="s">
        <v>421</v>
      </c>
      <c r="C69" s="52">
        <v>-16152.5</v>
      </c>
      <c r="D69" s="51" t="s">
        <v>422</v>
      </c>
    </row>
    <row r="70" spans="1:11" s="7" customFormat="1" x14ac:dyDescent="0.35">
      <c r="A70" s="50">
        <v>44630</v>
      </c>
      <c r="B70" s="51" t="s">
        <v>433</v>
      </c>
      <c r="C70" s="52">
        <v>-6175</v>
      </c>
      <c r="D70" s="51" t="s">
        <v>434</v>
      </c>
      <c r="E70" s="49"/>
      <c r="F70" s="49"/>
      <c r="G70" s="49"/>
      <c r="H70" s="49"/>
      <c r="I70" s="49"/>
      <c r="J70" s="49"/>
      <c r="K70" s="49"/>
    </row>
    <row r="71" spans="1:11" s="7" customFormat="1" x14ac:dyDescent="0.35">
      <c r="A71" s="50">
        <v>44586</v>
      </c>
      <c r="B71" s="51" t="s">
        <v>407</v>
      </c>
      <c r="C71" s="52">
        <v>-9855</v>
      </c>
      <c r="D71" s="51" t="s">
        <v>408</v>
      </c>
      <c r="E71" s="49"/>
      <c r="F71" s="49"/>
      <c r="G71" s="49"/>
      <c r="H71" s="49"/>
      <c r="I71" s="49"/>
      <c r="J71" s="49"/>
      <c r="K71" s="49"/>
    </row>
    <row r="72" spans="1:11" s="7" customFormat="1" x14ac:dyDescent="0.35">
      <c r="A72" s="50">
        <v>44565</v>
      </c>
      <c r="B72" s="51" t="s">
        <v>395</v>
      </c>
      <c r="C72" s="52">
        <v>-15960</v>
      </c>
      <c r="D72" s="51" t="s">
        <v>396</v>
      </c>
      <c r="E72" s="49"/>
      <c r="F72" s="49"/>
      <c r="G72" s="49"/>
      <c r="H72" s="49"/>
      <c r="I72" s="49"/>
      <c r="J72" s="49"/>
      <c r="K72" s="49"/>
    </row>
    <row r="73" spans="1:11" s="7" customFormat="1" x14ac:dyDescent="0.35">
      <c r="A73" s="50">
        <v>44701</v>
      </c>
      <c r="B73" s="51" t="s">
        <v>465</v>
      </c>
      <c r="C73" s="52">
        <v>-6830</v>
      </c>
      <c r="D73" s="51" t="s">
        <v>466</v>
      </c>
      <c r="E73" s="49"/>
      <c r="F73" s="49"/>
      <c r="G73" s="49"/>
      <c r="H73" s="49"/>
      <c r="I73" s="49"/>
      <c r="J73" s="49"/>
      <c r="K73" s="49"/>
    </row>
    <row r="74" spans="1:11" s="7" customFormat="1" x14ac:dyDescent="0.35">
      <c r="A74" s="50">
        <v>44736</v>
      </c>
      <c r="B74" s="51" t="s">
        <v>486</v>
      </c>
      <c r="C74" s="52">
        <v>-7660</v>
      </c>
      <c r="D74" s="51" t="s">
        <v>487</v>
      </c>
      <c r="E74" s="49"/>
      <c r="F74" s="49"/>
      <c r="G74" s="49"/>
      <c r="H74" s="49"/>
      <c r="I74" s="49"/>
      <c r="J74" s="49"/>
      <c r="K74" s="49"/>
    </row>
    <row r="75" spans="1:11" s="7" customFormat="1" x14ac:dyDescent="0.35">
      <c r="A75" s="50">
        <v>44763</v>
      </c>
      <c r="B75" s="51" t="s">
        <v>494</v>
      </c>
      <c r="C75" s="52">
        <v>-4000</v>
      </c>
      <c r="D75" s="51" t="s">
        <v>495</v>
      </c>
      <c r="E75" s="49"/>
      <c r="F75" s="49"/>
      <c r="G75" s="49"/>
      <c r="H75" s="49"/>
      <c r="I75" s="49"/>
      <c r="J75" s="49"/>
      <c r="K75" s="49"/>
    </row>
    <row r="76" spans="1:11" s="7" customFormat="1" x14ac:dyDescent="0.35">
      <c r="A76" s="50">
        <v>44789</v>
      </c>
      <c r="B76" s="51" t="s">
        <v>508</v>
      </c>
      <c r="C76" s="52">
        <v>-12610</v>
      </c>
      <c r="D76" s="51" t="s">
        <v>509</v>
      </c>
      <c r="E76" s="49"/>
      <c r="F76" s="49"/>
      <c r="G76" s="49"/>
      <c r="H76" s="49"/>
      <c r="I76" s="49"/>
      <c r="J76" s="49"/>
      <c r="K76" s="49"/>
    </row>
    <row r="77" spans="1:11" s="7" customFormat="1" x14ac:dyDescent="0.35">
      <c r="A77" s="50">
        <v>44823</v>
      </c>
      <c r="B77" s="51" t="s">
        <v>521</v>
      </c>
      <c r="C77" s="52">
        <v>-10297.5</v>
      </c>
      <c r="D77" s="51" t="s">
        <v>519</v>
      </c>
      <c r="E77" s="49"/>
      <c r="F77" s="49"/>
      <c r="G77" s="49"/>
      <c r="H77" s="49"/>
      <c r="I77" s="49"/>
      <c r="J77" s="49"/>
      <c r="K77" s="49"/>
    </row>
    <row r="78" spans="1:11" s="7" customFormat="1" x14ac:dyDescent="0.35">
      <c r="A78" s="50">
        <v>44669</v>
      </c>
      <c r="B78" s="51" t="s">
        <v>450</v>
      </c>
      <c r="C78" s="52">
        <v>-8240</v>
      </c>
      <c r="D78" s="51" t="s">
        <v>451</v>
      </c>
      <c r="E78" s="49"/>
      <c r="F78" s="49"/>
      <c r="G78" s="49"/>
      <c r="H78" s="49"/>
      <c r="I78" s="49"/>
      <c r="J78" s="49"/>
      <c r="K78" s="49"/>
    </row>
    <row r="79" spans="1:11" s="7" customFormat="1" x14ac:dyDescent="0.35">
      <c r="A79" s="50">
        <v>44781</v>
      </c>
      <c r="B79" s="51" t="s">
        <v>501</v>
      </c>
      <c r="C79" s="52">
        <v>-5833</v>
      </c>
      <c r="D79" s="51" t="s">
        <v>502</v>
      </c>
      <c r="E79" s="49"/>
      <c r="F79" s="49"/>
      <c r="G79" s="49"/>
      <c r="H79" s="49"/>
      <c r="I79" s="49"/>
      <c r="J79" s="49"/>
      <c r="K79" s="49"/>
    </row>
    <row r="80" spans="1:11" s="7" customFormat="1" x14ac:dyDescent="0.35">
      <c r="A80" s="50">
        <v>44747</v>
      </c>
      <c r="B80" s="51" t="s">
        <v>489</v>
      </c>
      <c r="C80" s="52">
        <v>-5833</v>
      </c>
      <c r="D80" s="51" t="s">
        <v>490</v>
      </c>
      <c r="E80" s="49"/>
      <c r="F80" s="49"/>
      <c r="G80" s="49"/>
      <c r="H80" s="49"/>
      <c r="I80" s="49"/>
      <c r="J80" s="49"/>
      <c r="K80" s="49"/>
    </row>
    <row r="81" spans="1:11" s="7" customFormat="1" x14ac:dyDescent="0.35">
      <c r="A81" s="50">
        <v>44719</v>
      </c>
      <c r="B81" s="51" t="s">
        <v>471</v>
      </c>
      <c r="C81" s="52">
        <v>-5833</v>
      </c>
      <c r="D81" s="51" t="s">
        <v>472</v>
      </c>
      <c r="E81" s="49"/>
      <c r="F81" s="49"/>
      <c r="G81" s="49"/>
      <c r="H81" s="49"/>
      <c r="I81" s="49"/>
      <c r="J81" s="49"/>
      <c r="K81" s="49"/>
    </row>
    <row r="82" spans="1:11" s="7" customFormat="1" x14ac:dyDescent="0.35">
      <c r="A82" s="50">
        <v>44827</v>
      </c>
      <c r="B82" s="51" t="s">
        <v>529</v>
      </c>
      <c r="C82" s="52">
        <v>-5833</v>
      </c>
      <c r="D82" s="51" t="s">
        <v>525</v>
      </c>
      <c r="E82" s="49"/>
      <c r="F82" s="49"/>
      <c r="G82" s="49"/>
      <c r="H82" s="49"/>
      <c r="I82" s="49"/>
      <c r="J82" s="49"/>
      <c r="K82" s="49"/>
    </row>
    <row r="83" spans="1:11" s="7" customFormat="1" x14ac:dyDescent="0.35">
      <c r="A83" s="50">
        <v>44811</v>
      </c>
      <c r="B83" s="51" t="s">
        <v>513</v>
      </c>
      <c r="C83" s="52">
        <v>-5833</v>
      </c>
      <c r="D83" s="51" t="s">
        <v>514</v>
      </c>
      <c r="E83" s="49"/>
      <c r="F83" s="49"/>
      <c r="G83" s="49"/>
      <c r="H83" s="49"/>
      <c r="I83" s="49"/>
      <c r="J83" s="49"/>
      <c r="K83" s="49"/>
    </row>
    <row r="84" spans="1:11" s="7" customFormat="1" x14ac:dyDescent="0.35">
      <c r="A84" s="50">
        <v>44594</v>
      </c>
      <c r="B84" s="51" t="s">
        <v>412</v>
      </c>
      <c r="C84" s="52">
        <v>-5833</v>
      </c>
      <c r="D84" s="51" t="s">
        <v>413</v>
      </c>
      <c r="E84" s="49"/>
      <c r="F84" s="49"/>
      <c r="G84" s="49"/>
      <c r="H84" s="49"/>
      <c r="I84" s="49"/>
      <c r="J84" s="49"/>
      <c r="K84" s="49"/>
    </row>
    <row r="85" spans="1:11" s="7" customFormat="1" x14ac:dyDescent="0.35">
      <c r="A85" s="50">
        <v>44573</v>
      </c>
      <c r="B85" s="51" t="s">
        <v>401</v>
      </c>
      <c r="C85" s="52">
        <v>-5833</v>
      </c>
      <c r="D85" s="51" t="s">
        <v>402</v>
      </c>
      <c r="E85" s="49"/>
      <c r="F85" s="49"/>
      <c r="G85" s="49"/>
      <c r="H85" s="49"/>
      <c r="I85" s="49"/>
      <c r="J85" s="49"/>
      <c r="K85" s="49"/>
    </row>
    <row r="86" spans="1:11" s="7" customFormat="1" x14ac:dyDescent="0.35">
      <c r="A86" s="50">
        <v>44623</v>
      </c>
      <c r="B86" s="51" t="s">
        <v>428</v>
      </c>
      <c r="C86" s="52">
        <v>-5833</v>
      </c>
      <c r="D86" s="51" t="s">
        <v>429</v>
      </c>
      <c r="E86" s="49"/>
      <c r="F86" s="49"/>
      <c r="G86" s="49"/>
      <c r="H86" s="49"/>
      <c r="I86" s="49"/>
      <c r="J86" s="49"/>
      <c r="K86" s="49"/>
    </row>
    <row r="87" spans="1:11" s="7" customFormat="1" x14ac:dyDescent="0.35">
      <c r="A87" s="50">
        <v>44650</v>
      </c>
      <c r="B87" s="51" t="s">
        <v>444</v>
      </c>
      <c r="C87" s="52">
        <v>-5833</v>
      </c>
      <c r="D87" s="51" t="s">
        <v>445</v>
      </c>
      <c r="E87" s="49"/>
      <c r="F87" s="49"/>
      <c r="G87" s="49"/>
      <c r="H87" s="49"/>
      <c r="I87" s="49"/>
      <c r="J87" s="49"/>
      <c r="K87" s="49"/>
    </row>
    <row r="88" spans="1:11" x14ac:dyDescent="0.35">
      <c r="A88" s="50">
        <v>44684</v>
      </c>
      <c r="B88" s="51" t="s">
        <v>457</v>
      </c>
      <c r="C88" s="52">
        <v>-5833</v>
      </c>
      <c r="D88" s="51" t="s">
        <v>458</v>
      </c>
    </row>
    <row r="89" spans="1:11" x14ac:dyDescent="0.35">
      <c r="A89" s="50">
        <v>44582</v>
      </c>
      <c r="B89" s="51" t="s">
        <v>404</v>
      </c>
      <c r="C89" s="52">
        <v>-22489.18</v>
      </c>
      <c r="D89" s="51" t="s">
        <v>405</v>
      </c>
    </row>
    <row r="90" spans="1:11" x14ac:dyDescent="0.35">
      <c r="A90" s="50">
        <v>44609</v>
      </c>
      <c r="B90" s="51" t="s">
        <v>419</v>
      </c>
      <c r="C90" s="52">
        <v>-22516.959999999999</v>
      </c>
      <c r="D90" s="51" t="s">
        <v>405</v>
      </c>
    </row>
    <row r="91" spans="1:11" x14ac:dyDescent="0.35">
      <c r="A91" s="50">
        <v>44641</v>
      </c>
      <c r="B91" s="51" t="s">
        <v>439</v>
      </c>
      <c r="C91" s="52">
        <v>-22489.18</v>
      </c>
      <c r="D91" s="51" t="s">
        <v>405</v>
      </c>
    </row>
    <row r="92" spans="1:11" x14ac:dyDescent="0.35">
      <c r="A92" s="57">
        <v>44665</v>
      </c>
      <c r="B92" s="58" t="s">
        <v>449</v>
      </c>
      <c r="C92" s="59">
        <v>-22511.360000000001</v>
      </c>
      <c r="D92" s="58" t="s">
        <v>405</v>
      </c>
    </row>
    <row r="93" spans="1:11" x14ac:dyDescent="0.35">
      <c r="A93" s="50">
        <v>44705</v>
      </c>
      <c r="B93" s="51" t="s">
        <v>467</v>
      </c>
      <c r="C93" s="52">
        <v>-22533.54</v>
      </c>
      <c r="D93" s="51" t="s">
        <v>405</v>
      </c>
    </row>
    <row r="94" spans="1:11" x14ac:dyDescent="0.35">
      <c r="A94" s="50">
        <v>44734</v>
      </c>
      <c r="B94" s="51" t="s">
        <v>484</v>
      </c>
      <c r="C94" s="52">
        <v>-22511.360000000001</v>
      </c>
      <c r="D94" s="51" t="s">
        <v>405</v>
      </c>
      <c r="F94" s="53"/>
    </row>
    <row r="95" spans="1:11" x14ac:dyDescent="0.35">
      <c r="A95" s="50">
        <v>44763</v>
      </c>
      <c r="B95" s="51" t="s">
        <v>496</v>
      </c>
      <c r="C95" s="52">
        <v>-22511.360000000001</v>
      </c>
      <c r="D95" s="51" t="s">
        <v>405</v>
      </c>
    </row>
    <row r="96" spans="1:11" x14ac:dyDescent="0.35">
      <c r="A96" s="50">
        <v>44789</v>
      </c>
      <c r="B96" s="51" t="s">
        <v>507</v>
      </c>
      <c r="C96" s="52">
        <v>-22511.360000000001</v>
      </c>
      <c r="D96" s="51" t="s">
        <v>405</v>
      </c>
    </row>
    <row r="97" spans="1:4" x14ac:dyDescent="0.35">
      <c r="A97" s="50">
        <v>44823</v>
      </c>
      <c r="B97" s="51" t="s">
        <v>522</v>
      </c>
      <c r="C97" s="52">
        <v>-44592.7</v>
      </c>
      <c r="D97" s="51" t="s">
        <v>405</v>
      </c>
    </row>
    <row r="98" spans="1:4" x14ac:dyDescent="0.35">
      <c r="A98" s="50">
        <v>44781</v>
      </c>
      <c r="B98" s="51" t="s">
        <v>503</v>
      </c>
      <c r="C98" s="52">
        <v>-355</v>
      </c>
      <c r="D98" s="51" t="s">
        <v>504</v>
      </c>
    </row>
    <row r="99" spans="1:4" x14ac:dyDescent="0.35">
      <c r="A99" s="50">
        <v>44825</v>
      </c>
      <c r="B99" s="51" t="s">
        <v>523</v>
      </c>
      <c r="C99" s="52">
        <v>-308.39999999999998</v>
      </c>
      <c r="D99" s="51" t="s">
        <v>524</v>
      </c>
    </row>
    <row r="100" spans="1:4" x14ac:dyDescent="0.35">
      <c r="A100" s="50">
        <v>44701</v>
      </c>
      <c r="B100" s="51" t="s">
        <v>463</v>
      </c>
      <c r="C100" s="52">
        <v>-4074.5</v>
      </c>
      <c r="D100" s="51" t="s">
        <v>464</v>
      </c>
    </row>
    <row r="101" spans="1:4" x14ac:dyDescent="0.35">
      <c r="A101" s="50">
        <v>44733</v>
      </c>
      <c r="B101" s="51" t="s">
        <v>482</v>
      </c>
      <c r="C101" s="52">
        <v>-2670</v>
      </c>
      <c r="D101" s="51" t="s">
        <v>483</v>
      </c>
    </row>
    <row r="102" spans="1:4" x14ac:dyDescent="0.35">
      <c r="A102" s="50">
        <v>44764</v>
      </c>
      <c r="B102" s="51" t="s">
        <v>497</v>
      </c>
      <c r="C102" s="52">
        <v>-8585</v>
      </c>
      <c r="D102" s="51" t="s">
        <v>498</v>
      </c>
    </row>
    <row r="103" spans="1:4" x14ac:dyDescent="0.35">
      <c r="A103" s="50">
        <v>44614</v>
      </c>
      <c r="B103" s="51" t="s">
        <v>423</v>
      </c>
      <c r="C103" s="52">
        <v>-1020</v>
      </c>
      <c r="D103" s="51" t="s">
        <v>424</v>
      </c>
    </row>
    <row r="104" spans="1:4" x14ac:dyDescent="0.35">
      <c r="A104" s="50">
        <v>44643</v>
      </c>
      <c r="B104" s="51" t="s">
        <v>440</v>
      </c>
      <c r="C104" s="52">
        <v>-721.3</v>
      </c>
      <c r="D104" s="51" t="s">
        <v>441</v>
      </c>
    </row>
    <row r="105" spans="1:4" x14ac:dyDescent="0.35">
      <c r="A105" s="50">
        <v>44670</v>
      </c>
      <c r="B105" s="51" t="s">
        <v>454</v>
      </c>
      <c r="C105" s="52">
        <v>-19716</v>
      </c>
      <c r="D105" s="51" t="s">
        <v>455</v>
      </c>
    </row>
    <row r="106" spans="1:4" x14ac:dyDescent="0.35">
      <c r="A106" s="50">
        <v>44627</v>
      </c>
      <c r="B106" s="51" t="s">
        <v>430</v>
      </c>
      <c r="C106" s="52">
        <v>-600</v>
      </c>
      <c r="D106" s="51" t="s">
        <v>431</v>
      </c>
    </row>
    <row r="107" spans="1:4" x14ac:dyDescent="0.35">
      <c r="A107" s="50">
        <v>44670</v>
      </c>
      <c r="B107" s="51" t="s">
        <v>452</v>
      </c>
      <c r="C107" s="52" t="s">
        <v>453</v>
      </c>
      <c r="D107" s="51" t="s">
        <v>453</v>
      </c>
    </row>
    <row r="108" spans="1:4" x14ac:dyDescent="0.35">
      <c r="A108" s="60" t="s">
        <v>2</v>
      </c>
      <c r="B108" s="60"/>
      <c r="C108" s="61">
        <f>SUM(C4:C107)</f>
        <v>240868.32000000007</v>
      </c>
      <c r="D108" s="60" t="s">
        <v>516</v>
      </c>
    </row>
    <row r="109" spans="1:4" x14ac:dyDescent="0.35">
      <c r="A109" s="62"/>
      <c r="B109" s="49"/>
      <c r="C109" s="63"/>
      <c r="D109" s="49"/>
    </row>
    <row r="110" spans="1:4" x14ac:dyDescent="0.35">
      <c r="A110" s="62" t="s">
        <v>517</v>
      </c>
      <c r="B110" s="49"/>
      <c r="C110" s="63"/>
      <c r="D110" s="49"/>
    </row>
    <row r="111" spans="1:4" x14ac:dyDescent="0.35">
      <c r="A111" s="15"/>
      <c r="B111" s="15"/>
      <c r="C111" s="15"/>
      <c r="D111" s="15"/>
    </row>
    <row r="112" spans="1:4" x14ac:dyDescent="0.35">
      <c r="A112" s="15"/>
      <c r="B112" s="15"/>
      <c r="C112" s="15"/>
      <c r="D112" s="15"/>
    </row>
    <row r="113" spans="1:4" x14ac:dyDescent="0.35">
      <c r="A113" s="15"/>
      <c r="B113" s="15"/>
      <c r="C113" s="15"/>
      <c r="D113" s="15"/>
    </row>
    <row r="114" spans="1:4" x14ac:dyDescent="0.35">
      <c r="A114" s="15"/>
      <c r="B114" s="15"/>
      <c r="C114" s="15"/>
      <c r="D114" s="15"/>
    </row>
    <row r="115" spans="1:4" x14ac:dyDescent="0.35">
      <c r="A115" s="60" t="s">
        <v>2</v>
      </c>
      <c r="B115" s="60"/>
      <c r="C115" s="61">
        <f>C108+SUM(C100:C113)</f>
        <v>444349.84000000014</v>
      </c>
      <c r="D115" s="1" t="s">
        <v>520</v>
      </c>
    </row>
  </sheetData>
  <sortState ref="A23:D107">
    <sortCondition ref="D23:D107"/>
  </sortState>
  <mergeCells count="1">
    <mergeCell ref="A1:F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N9" sqref="N9"/>
    </sheetView>
  </sheetViews>
  <sheetFormatPr defaultRowHeight="15" x14ac:dyDescent="0.25"/>
  <cols>
    <col min="1" max="1" width="24.28515625" style="15" bestFit="1" customWidth="1"/>
    <col min="2" max="2" width="19" style="15" bestFit="1" customWidth="1"/>
    <col min="3" max="3" width="22.85546875" style="15" bestFit="1" customWidth="1"/>
    <col min="4" max="4" width="11" style="15" bestFit="1" customWidth="1"/>
    <col min="5" max="12" width="9.140625" style="15"/>
    <col min="13" max="13" width="12" style="15" bestFit="1" customWidth="1"/>
    <col min="14" max="16384" width="9.140625" style="15"/>
  </cols>
  <sheetData>
    <row r="1" spans="1:15" x14ac:dyDescent="0.25">
      <c r="A1" s="17" t="s">
        <v>172</v>
      </c>
      <c r="B1" s="17" t="s">
        <v>52</v>
      </c>
      <c r="C1" s="17" t="s">
        <v>53</v>
      </c>
      <c r="D1" s="17" t="s">
        <v>54</v>
      </c>
      <c r="E1" s="17" t="s">
        <v>55</v>
      </c>
      <c r="F1" s="17" t="s">
        <v>56</v>
      </c>
      <c r="G1" s="17" t="s">
        <v>57</v>
      </c>
      <c r="H1" s="17" t="s">
        <v>58</v>
      </c>
      <c r="I1" s="17" t="s">
        <v>59</v>
      </c>
      <c r="J1" s="17" t="s">
        <v>60</v>
      </c>
      <c r="K1" s="17" t="s">
        <v>61</v>
      </c>
      <c r="L1" s="17" t="s">
        <v>62</v>
      </c>
      <c r="M1" s="17" t="s">
        <v>63</v>
      </c>
      <c r="N1" s="17" t="s">
        <v>2</v>
      </c>
    </row>
    <row r="2" spans="1:15" x14ac:dyDescent="0.25">
      <c r="A2" s="17" t="s">
        <v>64</v>
      </c>
      <c r="B2" s="17">
        <f>22489.18*0.119</f>
        <v>2676.2124199999998</v>
      </c>
      <c r="C2" s="17">
        <f t="shared" ref="C2:M2" si="0">22489.18*0.119</f>
        <v>2676.2124199999998</v>
      </c>
      <c r="D2" s="17">
        <f t="shared" si="0"/>
        <v>2676.2124199999998</v>
      </c>
      <c r="E2" s="17">
        <f t="shared" si="0"/>
        <v>2676.2124199999998</v>
      </c>
      <c r="F2" s="17">
        <f t="shared" si="0"/>
        <v>2676.2124199999998</v>
      </c>
      <c r="G2" s="17">
        <f t="shared" si="0"/>
        <v>2676.2124199999998</v>
      </c>
      <c r="H2" s="17">
        <f t="shared" si="0"/>
        <v>2676.2124199999998</v>
      </c>
      <c r="I2" s="17">
        <f t="shared" si="0"/>
        <v>2676.2124199999998</v>
      </c>
      <c r="J2" s="17">
        <f t="shared" si="0"/>
        <v>2676.2124199999998</v>
      </c>
      <c r="K2" s="17">
        <f t="shared" si="0"/>
        <v>2676.2124199999998</v>
      </c>
      <c r="L2" s="17">
        <f t="shared" si="0"/>
        <v>2676.2124199999998</v>
      </c>
      <c r="M2" s="17">
        <f t="shared" si="0"/>
        <v>2676.2124199999998</v>
      </c>
      <c r="N2" s="17">
        <f>SUM(B2:M2)</f>
        <v>32114.549039999998</v>
      </c>
    </row>
    <row r="3" spans="1:15" x14ac:dyDescent="0.25">
      <c r="A3" s="17" t="s">
        <v>82</v>
      </c>
      <c r="B3" s="17">
        <f>5000*0.25</f>
        <v>1250</v>
      </c>
      <c r="C3" s="17">
        <f t="shared" ref="C3:M3" si="1">5000*0.25</f>
        <v>1250</v>
      </c>
      <c r="D3" s="17">
        <f t="shared" si="1"/>
        <v>1250</v>
      </c>
      <c r="E3" s="17">
        <f t="shared" si="1"/>
        <v>1250</v>
      </c>
      <c r="F3" s="17">
        <f t="shared" si="1"/>
        <v>1250</v>
      </c>
      <c r="G3" s="17">
        <f t="shared" si="1"/>
        <v>1250</v>
      </c>
      <c r="H3" s="17">
        <f t="shared" si="1"/>
        <v>1250</v>
      </c>
      <c r="I3" s="17">
        <f t="shared" si="1"/>
        <v>1250</v>
      </c>
      <c r="J3" s="17">
        <f t="shared" si="1"/>
        <v>1250</v>
      </c>
      <c r="K3" s="17">
        <f t="shared" si="1"/>
        <v>1250</v>
      </c>
      <c r="L3" s="17">
        <f t="shared" si="1"/>
        <v>1250</v>
      </c>
      <c r="M3" s="17">
        <f t="shared" si="1"/>
        <v>1250</v>
      </c>
      <c r="N3" s="17">
        <f>SUM(B3:M3)</f>
        <v>15000</v>
      </c>
    </row>
    <row r="4" spans="1:15" x14ac:dyDescent="0.25">
      <c r="A4" s="6" t="s">
        <v>83</v>
      </c>
      <c r="B4" s="17">
        <f>5833</f>
        <v>5833</v>
      </c>
      <c r="C4" s="17">
        <f>5833</f>
        <v>5833</v>
      </c>
      <c r="D4" s="17">
        <f>5833</f>
        <v>5833</v>
      </c>
      <c r="E4" s="17">
        <f>5833</f>
        <v>5833</v>
      </c>
      <c r="F4" s="17">
        <f>5833</f>
        <v>5833</v>
      </c>
      <c r="G4" s="17">
        <f>5833</f>
        <v>5833</v>
      </c>
      <c r="H4" s="17">
        <f>5833</f>
        <v>5833</v>
      </c>
      <c r="I4" s="17">
        <f>5833</f>
        <v>5833</v>
      </c>
      <c r="J4" s="17">
        <f>5833</f>
        <v>5833</v>
      </c>
      <c r="K4" s="17">
        <f>5833</f>
        <v>5833</v>
      </c>
      <c r="L4" s="17">
        <f>5833</f>
        <v>5833</v>
      </c>
      <c r="M4" s="17">
        <f>5833</f>
        <v>5833</v>
      </c>
      <c r="N4" s="17">
        <f>SUM(B4:M4)</f>
        <v>69996</v>
      </c>
    </row>
    <row r="5" spans="1:15" x14ac:dyDescent="0.25">
      <c r="A5" s="22" t="s">
        <v>88</v>
      </c>
      <c r="B5" s="15">
        <v>116.24</v>
      </c>
      <c r="D5" s="7">
        <v>118.53</v>
      </c>
      <c r="G5" s="30">
        <v>600</v>
      </c>
      <c r="H5" s="30">
        <v>300</v>
      </c>
      <c r="J5" s="7"/>
      <c r="K5" s="30">
        <v>500</v>
      </c>
      <c r="L5" s="30">
        <v>400</v>
      </c>
      <c r="N5" s="17">
        <f t="shared" ref="N5:N9" si="2">SUM(B5:M5)</f>
        <v>2034.77</v>
      </c>
    </row>
    <row r="6" spans="1:15" x14ac:dyDescent="0.25">
      <c r="A6" s="22" t="s">
        <v>113</v>
      </c>
      <c r="B6" s="15">
        <f>77.54+36</f>
        <v>113.54</v>
      </c>
      <c r="D6" s="7">
        <f>23+20+70</f>
        <v>113</v>
      </c>
      <c r="G6" s="30">
        <v>100</v>
      </c>
      <c r="H6" s="30"/>
      <c r="J6" s="7"/>
      <c r="K6" s="30">
        <v>100</v>
      </c>
      <c r="L6" s="30">
        <v>100</v>
      </c>
      <c r="N6" s="17">
        <f t="shared" si="2"/>
        <v>526.54</v>
      </c>
    </row>
    <row r="7" spans="1:15" x14ac:dyDescent="0.25">
      <c r="A7" s="22" t="s">
        <v>104</v>
      </c>
      <c r="B7" s="15">
        <v>296.58</v>
      </c>
      <c r="D7" s="7">
        <v>1535.72</v>
      </c>
      <c r="G7" s="30">
        <f>209*1.1*6</f>
        <v>1379.4</v>
      </c>
      <c r="H7" s="30">
        <v>750</v>
      </c>
      <c r="J7" s="7"/>
      <c r="K7" s="30">
        <f>334*1.1*5</f>
        <v>1837.0000000000002</v>
      </c>
      <c r="L7" s="30">
        <v>1250</v>
      </c>
      <c r="N7" s="17">
        <f t="shared" si="2"/>
        <v>7048.7</v>
      </c>
    </row>
    <row r="8" spans="1:15" x14ac:dyDescent="0.25">
      <c r="A8" s="22" t="s">
        <v>114</v>
      </c>
      <c r="B8" s="15">
        <v>459.8</v>
      </c>
      <c r="D8" s="15">
        <v>491.36</v>
      </c>
      <c r="G8" s="30">
        <v>654.96</v>
      </c>
      <c r="J8" s="7"/>
      <c r="K8" s="30">
        <v>654.96</v>
      </c>
      <c r="L8" s="30">
        <v>350</v>
      </c>
      <c r="N8" s="17">
        <f t="shared" si="2"/>
        <v>2611.08</v>
      </c>
    </row>
    <row r="9" spans="1:15" x14ac:dyDescent="0.25">
      <c r="A9" s="22" t="s">
        <v>36</v>
      </c>
      <c r="B9" s="21">
        <v>400</v>
      </c>
      <c r="G9" s="35">
        <v>975</v>
      </c>
      <c r="J9" s="7"/>
      <c r="K9" s="30"/>
      <c r="L9" s="30">
        <v>900</v>
      </c>
      <c r="N9" s="17">
        <f t="shared" si="2"/>
        <v>2275</v>
      </c>
      <c r="O9" s="15">
        <v>14496.09</v>
      </c>
    </row>
    <row r="10" spans="1:15" x14ac:dyDescent="0.25">
      <c r="A10" s="22" t="s">
        <v>2</v>
      </c>
      <c r="N10" s="22">
        <f>SUM(N2:N9)</f>
        <v>131606.63903999998</v>
      </c>
    </row>
    <row r="11" spans="1:15" x14ac:dyDescent="0.25">
      <c r="A11" s="22"/>
      <c r="B11" s="15" t="s">
        <v>124</v>
      </c>
      <c r="D11" s="15" t="s">
        <v>124</v>
      </c>
      <c r="G11" s="15" t="s">
        <v>129</v>
      </c>
      <c r="H11" s="15" t="s">
        <v>130</v>
      </c>
      <c r="K11" s="15" t="s">
        <v>125</v>
      </c>
      <c r="L11" s="15" t="s">
        <v>125</v>
      </c>
      <c r="N11" s="21"/>
    </row>
    <row r="12" spans="1:15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</row>
    <row r="13" spans="1:15" x14ac:dyDescent="0.25">
      <c r="A13" s="5">
        <v>44875</v>
      </c>
      <c r="B13" s="6" t="s">
        <v>94</v>
      </c>
      <c r="C13" s="6" t="s">
        <v>95</v>
      </c>
      <c r="D13" s="23">
        <v>400</v>
      </c>
      <c r="N13" s="21"/>
    </row>
    <row r="14" spans="1:15" x14ac:dyDescent="0.25">
      <c r="A14" s="4">
        <v>44524</v>
      </c>
      <c r="B14" s="17" t="s">
        <v>116</v>
      </c>
      <c r="C14" s="17" t="s">
        <v>117</v>
      </c>
      <c r="D14" s="25">
        <v>700</v>
      </c>
      <c r="N14" s="21"/>
    </row>
    <row r="15" spans="1:15" x14ac:dyDescent="0.25">
      <c r="A15" s="5">
        <v>44533</v>
      </c>
      <c r="B15" s="6" t="s">
        <v>98</v>
      </c>
      <c r="C15" s="6" t="s">
        <v>99</v>
      </c>
      <c r="D15" s="23">
        <v>413.46</v>
      </c>
      <c r="F15" s="8">
        <f>491.36-D15</f>
        <v>77.900000000000034</v>
      </c>
    </row>
    <row r="16" spans="1:15" x14ac:dyDescent="0.25">
      <c r="A16" s="5">
        <v>44538</v>
      </c>
      <c r="B16" s="6" t="s">
        <v>100</v>
      </c>
      <c r="C16" s="6" t="s">
        <v>99</v>
      </c>
      <c r="D16" s="23">
        <v>459.8</v>
      </c>
    </row>
    <row r="17" spans="1:4" x14ac:dyDescent="0.25">
      <c r="A17" s="5">
        <v>44505</v>
      </c>
      <c r="B17" s="6" t="s">
        <v>92</v>
      </c>
      <c r="C17" s="6" t="s">
        <v>93</v>
      </c>
      <c r="D17" s="23">
        <v>40</v>
      </c>
    </row>
    <row r="18" spans="1:4" x14ac:dyDescent="0.25">
      <c r="A18" s="5">
        <v>44572</v>
      </c>
      <c r="B18" s="6" t="s">
        <v>16</v>
      </c>
      <c r="C18" s="6" t="s">
        <v>17</v>
      </c>
      <c r="D18" s="9">
        <v>23.92</v>
      </c>
    </row>
    <row r="19" spans="1:4" x14ac:dyDescent="0.25">
      <c r="A19" s="5">
        <v>44572</v>
      </c>
      <c r="B19" s="6" t="s">
        <v>18</v>
      </c>
      <c r="C19" s="6" t="s">
        <v>19</v>
      </c>
      <c r="D19" s="9">
        <v>7.78</v>
      </c>
    </row>
    <row r="20" spans="1:4" x14ac:dyDescent="0.25">
      <c r="A20" s="5">
        <v>44572</v>
      </c>
      <c r="B20" s="6" t="s">
        <v>20</v>
      </c>
      <c r="C20" s="6" t="s">
        <v>6</v>
      </c>
      <c r="D20" s="9">
        <v>2.96</v>
      </c>
    </row>
    <row r="21" spans="1:4" x14ac:dyDescent="0.25">
      <c r="A21" s="5">
        <v>44573</v>
      </c>
      <c r="B21" s="6" t="s">
        <v>21</v>
      </c>
      <c r="C21" s="6" t="s">
        <v>22</v>
      </c>
      <c r="D21" s="9">
        <v>11.98</v>
      </c>
    </row>
    <row r="22" spans="1:4" x14ac:dyDescent="0.25">
      <c r="A22" s="5">
        <v>44573</v>
      </c>
      <c r="B22" s="6" t="s">
        <v>23</v>
      </c>
      <c r="C22" s="6" t="s">
        <v>6</v>
      </c>
      <c r="D22" s="9">
        <v>2.25</v>
      </c>
    </row>
    <row r="23" spans="1:4" x14ac:dyDescent="0.25">
      <c r="A23" s="5">
        <v>44573</v>
      </c>
      <c r="B23" s="6" t="s">
        <v>20</v>
      </c>
      <c r="C23" s="6" t="s">
        <v>7</v>
      </c>
      <c r="D23" s="9">
        <v>35.18</v>
      </c>
    </row>
    <row r="24" spans="1:4" x14ac:dyDescent="0.25">
      <c r="A24" s="5">
        <v>44573</v>
      </c>
      <c r="B24" s="6" t="s">
        <v>24</v>
      </c>
      <c r="C24" s="6" t="s">
        <v>25</v>
      </c>
      <c r="D24" s="9">
        <v>9.06</v>
      </c>
    </row>
    <row r="25" spans="1:4" x14ac:dyDescent="0.25">
      <c r="A25" s="5">
        <v>44573</v>
      </c>
      <c r="B25" s="6" t="s">
        <v>26</v>
      </c>
      <c r="C25" s="6" t="s">
        <v>27</v>
      </c>
      <c r="D25" s="9">
        <v>50</v>
      </c>
    </row>
    <row r="26" spans="1:4" x14ac:dyDescent="0.25">
      <c r="A26" s="5">
        <v>44574</v>
      </c>
      <c r="B26" s="6" t="s">
        <v>21</v>
      </c>
      <c r="C26" s="6" t="s">
        <v>28</v>
      </c>
      <c r="D26" s="9">
        <v>20.27</v>
      </c>
    </row>
    <row r="27" spans="1:4" x14ac:dyDescent="0.25">
      <c r="A27" s="5">
        <v>44574</v>
      </c>
      <c r="B27" s="6" t="s">
        <v>24</v>
      </c>
      <c r="C27" s="6" t="s">
        <v>29</v>
      </c>
      <c r="D27" s="9">
        <v>12.31</v>
      </c>
    </row>
    <row r="28" spans="1:4" x14ac:dyDescent="0.25">
      <c r="A28" s="5">
        <v>44574</v>
      </c>
      <c r="B28" s="6" t="s">
        <v>30</v>
      </c>
      <c r="C28" s="6" t="s">
        <v>31</v>
      </c>
      <c r="D28" s="9">
        <v>36</v>
      </c>
    </row>
    <row r="29" spans="1:4" x14ac:dyDescent="0.25">
      <c r="A29" s="5">
        <v>44574</v>
      </c>
      <c r="B29" s="6" t="s">
        <v>32</v>
      </c>
      <c r="C29" s="6" t="s">
        <v>7</v>
      </c>
      <c r="D29" s="9">
        <v>18.07</v>
      </c>
    </row>
    <row r="30" spans="1:4" x14ac:dyDescent="0.25">
      <c r="A30" s="5">
        <v>44574</v>
      </c>
      <c r="B30" s="6" t="s">
        <v>33</v>
      </c>
      <c r="C30" s="6" t="s">
        <v>34</v>
      </c>
      <c r="D30" s="9">
        <v>296.58</v>
      </c>
    </row>
    <row r="31" spans="1:4" x14ac:dyDescent="0.25">
      <c r="A31" s="5">
        <v>44608</v>
      </c>
      <c r="B31" s="6" t="s">
        <v>143</v>
      </c>
      <c r="C31" s="6" t="s">
        <v>36</v>
      </c>
      <c r="D31" s="9">
        <v>975</v>
      </c>
    </row>
    <row r="32" spans="1:4" x14ac:dyDescent="0.25">
      <c r="A32" s="5">
        <v>44614</v>
      </c>
      <c r="B32" s="6" t="s">
        <v>144</v>
      </c>
      <c r="C32" s="6" t="s">
        <v>145</v>
      </c>
      <c r="D32" s="9">
        <v>263.92</v>
      </c>
    </row>
    <row r="33" spans="1:4" x14ac:dyDescent="0.25">
      <c r="A33" s="5">
        <v>44618</v>
      </c>
      <c r="B33" s="6" t="s">
        <v>139</v>
      </c>
      <c r="C33" s="6" t="s">
        <v>140</v>
      </c>
      <c r="D33" s="9">
        <v>23</v>
      </c>
    </row>
    <row r="34" spans="1:4" x14ac:dyDescent="0.25">
      <c r="A34" s="5">
        <v>44618</v>
      </c>
      <c r="B34" s="6" t="s">
        <v>148</v>
      </c>
      <c r="C34" s="6" t="s">
        <v>27</v>
      </c>
      <c r="D34" s="9">
        <v>21</v>
      </c>
    </row>
    <row r="35" spans="1:4" x14ac:dyDescent="0.25">
      <c r="A35" s="5">
        <v>44619</v>
      </c>
      <c r="B35" s="6" t="s">
        <v>147</v>
      </c>
      <c r="C35" s="6" t="s">
        <v>40</v>
      </c>
      <c r="D35" s="9">
        <v>24</v>
      </c>
    </row>
    <row r="36" spans="1:4" x14ac:dyDescent="0.25">
      <c r="A36" s="5">
        <v>44620</v>
      </c>
      <c r="B36" s="6" t="s">
        <v>149</v>
      </c>
      <c r="C36" s="6" t="s">
        <v>27</v>
      </c>
      <c r="D36" s="9">
        <v>43</v>
      </c>
    </row>
    <row r="37" spans="1:4" x14ac:dyDescent="0.25">
      <c r="A37" s="5">
        <v>44621</v>
      </c>
      <c r="B37" s="6" t="s">
        <v>148</v>
      </c>
      <c r="C37" s="6" t="s">
        <v>27</v>
      </c>
      <c r="D37" s="9">
        <v>12</v>
      </c>
    </row>
    <row r="38" spans="1:4" x14ac:dyDescent="0.25">
      <c r="A38" s="5">
        <v>44622</v>
      </c>
      <c r="B38" s="6" t="s">
        <v>150</v>
      </c>
      <c r="C38" s="6" t="s">
        <v>151</v>
      </c>
      <c r="D38" s="9">
        <v>20</v>
      </c>
    </row>
    <row r="39" spans="1:4" x14ac:dyDescent="0.25">
      <c r="A39" s="5">
        <v>44622</v>
      </c>
      <c r="B39" s="6" t="s">
        <v>153</v>
      </c>
      <c r="C39" s="6" t="s">
        <v>152</v>
      </c>
      <c r="D39" s="9">
        <f>(334+49.93)*4</f>
        <v>1535.72</v>
      </c>
    </row>
    <row r="40" spans="1:4" x14ac:dyDescent="0.25">
      <c r="A40" s="5">
        <v>44594</v>
      </c>
      <c r="B40" s="6" t="s">
        <v>154</v>
      </c>
      <c r="C40" s="6" t="s">
        <v>7</v>
      </c>
      <c r="D40" s="9">
        <v>18.53</v>
      </c>
    </row>
    <row r="41" spans="1:4" x14ac:dyDescent="0.25">
      <c r="A41" s="5">
        <v>44622</v>
      </c>
      <c r="B41" s="6" t="s">
        <v>30</v>
      </c>
      <c r="C41" s="6" t="s">
        <v>155</v>
      </c>
      <c r="D41" s="9">
        <v>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"/>
  <sheetViews>
    <sheetView topLeftCell="B1" workbookViewId="0">
      <selection activeCell="N9" sqref="N9"/>
    </sheetView>
  </sheetViews>
  <sheetFormatPr defaultRowHeight="15" x14ac:dyDescent="0.25"/>
  <cols>
    <col min="1" max="1" width="32.28515625" style="15" bestFit="1" customWidth="1"/>
    <col min="2" max="2" width="23.85546875" style="15" bestFit="1" customWidth="1"/>
    <col min="3" max="3" width="26.5703125" style="15" bestFit="1" customWidth="1"/>
    <col min="4" max="9" width="9.140625" style="15"/>
    <col min="10" max="10" width="11" style="15" bestFit="1" customWidth="1"/>
    <col min="11" max="11" width="9.140625" style="15"/>
    <col min="12" max="12" width="11" style="15" bestFit="1" customWidth="1"/>
    <col min="13" max="13" width="12" style="15" bestFit="1" customWidth="1"/>
    <col min="14" max="16384" width="9.140625" style="15"/>
  </cols>
  <sheetData>
    <row r="1" spans="1:14" x14ac:dyDescent="0.25">
      <c r="A1" s="17" t="s">
        <v>173</v>
      </c>
      <c r="B1" s="17" t="s">
        <v>52</v>
      </c>
      <c r="C1" s="17" t="s">
        <v>53</v>
      </c>
      <c r="D1" s="17" t="s">
        <v>54</v>
      </c>
      <c r="E1" s="17" t="s">
        <v>55</v>
      </c>
      <c r="F1" s="17" t="s">
        <v>56</v>
      </c>
      <c r="G1" s="17" t="s">
        <v>57</v>
      </c>
      <c r="H1" s="17" t="s">
        <v>58</v>
      </c>
      <c r="I1" s="17" t="s">
        <v>59</v>
      </c>
      <c r="J1" s="17" t="s">
        <v>60</v>
      </c>
      <c r="K1" s="17" t="s">
        <v>61</v>
      </c>
      <c r="L1" s="17" t="s">
        <v>62</v>
      </c>
      <c r="M1" s="17" t="s">
        <v>63</v>
      </c>
      <c r="N1" s="17" t="s">
        <v>2</v>
      </c>
    </row>
    <row r="2" spans="1:14" x14ac:dyDescent="0.25">
      <c r="A2" s="17" t="s">
        <v>64</v>
      </c>
      <c r="B2" s="17">
        <f>22489.18*0.106</f>
        <v>2383.8530799999999</v>
      </c>
      <c r="C2" s="17">
        <f t="shared" ref="C2:M2" si="0">22489.18*0.106</f>
        <v>2383.8530799999999</v>
      </c>
      <c r="D2" s="17">
        <f t="shared" si="0"/>
        <v>2383.8530799999999</v>
      </c>
      <c r="E2" s="17">
        <f t="shared" si="0"/>
        <v>2383.8530799999999</v>
      </c>
      <c r="F2" s="17">
        <f t="shared" si="0"/>
        <v>2383.8530799999999</v>
      </c>
      <c r="G2" s="17">
        <f t="shared" si="0"/>
        <v>2383.8530799999999</v>
      </c>
      <c r="H2" s="17">
        <f t="shared" si="0"/>
        <v>2383.8530799999999</v>
      </c>
      <c r="I2" s="17">
        <f t="shared" si="0"/>
        <v>2383.8530799999999</v>
      </c>
      <c r="J2" s="17">
        <f t="shared" si="0"/>
        <v>2383.8530799999999</v>
      </c>
      <c r="K2" s="17">
        <f t="shared" si="0"/>
        <v>2383.8530799999999</v>
      </c>
      <c r="L2" s="17">
        <f t="shared" si="0"/>
        <v>2383.8530799999999</v>
      </c>
      <c r="M2" s="17">
        <f t="shared" si="0"/>
        <v>2383.8530799999999</v>
      </c>
      <c r="N2" s="17">
        <f>SUM(B2:M2)</f>
        <v>28606.236960000006</v>
      </c>
    </row>
    <row r="3" spans="1:14" x14ac:dyDescent="0.25">
      <c r="A3" s="17" t="s">
        <v>84</v>
      </c>
      <c r="B3" s="17">
        <v>485.42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 t="shared" ref="N3:N5" si="1">SUM(B3:M3)</f>
        <v>485.42</v>
      </c>
    </row>
    <row r="4" spans="1:14" x14ac:dyDescent="0.25">
      <c r="A4" s="22" t="s">
        <v>87</v>
      </c>
      <c r="B4" s="15">
        <v>156.65</v>
      </c>
      <c r="C4" s="15">
        <v>156.65</v>
      </c>
      <c r="D4" s="15">
        <v>156.65</v>
      </c>
      <c r="E4" s="15">
        <v>156.65</v>
      </c>
      <c r="F4" s="15">
        <v>156.65</v>
      </c>
      <c r="G4" s="15">
        <v>156.65</v>
      </c>
      <c r="H4" s="15">
        <v>156.65</v>
      </c>
      <c r="I4" s="15">
        <v>156.65</v>
      </c>
      <c r="J4" s="15">
        <v>156.65</v>
      </c>
      <c r="K4" s="15">
        <v>156.65</v>
      </c>
      <c r="L4" s="15">
        <v>156.65</v>
      </c>
      <c r="N4" s="17">
        <f t="shared" si="1"/>
        <v>1723.1500000000003</v>
      </c>
    </row>
    <row r="5" spans="1:14" x14ac:dyDescent="0.25">
      <c r="A5" s="22" t="s">
        <v>96</v>
      </c>
      <c r="D5" s="15">
        <v>2500</v>
      </c>
      <c r="J5" s="15">
        <v>331.76</v>
      </c>
      <c r="K5" s="15">
        <f>77+151.6</f>
        <v>228.6</v>
      </c>
      <c r="L5" s="15">
        <f>25.4</f>
        <v>25.4</v>
      </c>
      <c r="M5" s="15">
        <f>350+341.74</f>
        <v>691.74</v>
      </c>
      <c r="N5" s="17">
        <f t="shared" si="1"/>
        <v>3777.5</v>
      </c>
    </row>
    <row r="6" spans="1:14" x14ac:dyDescent="0.25">
      <c r="A6" s="22" t="s">
        <v>2</v>
      </c>
      <c r="N6" s="22">
        <f>SUM(N2:N5)</f>
        <v>34592.306960000002</v>
      </c>
    </row>
    <row r="9" spans="1:14" x14ac:dyDescent="0.25">
      <c r="A9" s="5">
        <v>44567</v>
      </c>
      <c r="B9" s="6" t="s">
        <v>9</v>
      </c>
      <c r="C9" s="6" t="s">
        <v>8</v>
      </c>
      <c r="D9" s="9">
        <v>164.42</v>
      </c>
    </row>
    <row r="10" spans="1:14" x14ac:dyDescent="0.25">
      <c r="A10" s="5">
        <v>44567</v>
      </c>
      <c r="B10" s="6" t="s">
        <v>10</v>
      </c>
      <c r="C10" s="6" t="s">
        <v>11</v>
      </c>
      <c r="D10" s="9">
        <v>192.41</v>
      </c>
    </row>
    <row r="11" spans="1:14" x14ac:dyDescent="0.25">
      <c r="A11" s="5">
        <v>44568</v>
      </c>
      <c r="B11" s="6" t="s">
        <v>12</v>
      </c>
      <c r="C11" s="6" t="s">
        <v>13</v>
      </c>
      <c r="D11" s="9">
        <v>32.96</v>
      </c>
    </row>
    <row r="12" spans="1:14" x14ac:dyDescent="0.25">
      <c r="A12" s="5">
        <v>44569</v>
      </c>
      <c r="B12" s="6" t="s">
        <v>14</v>
      </c>
      <c r="C12" s="6" t="s">
        <v>15</v>
      </c>
      <c r="D12" s="9">
        <v>95.63</v>
      </c>
    </row>
    <row r="13" spans="1:14" x14ac:dyDescent="0.25">
      <c r="A13" s="5">
        <v>44593</v>
      </c>
      <c r="B13" s="6" t="s">
        <v>136</v>
      </c>
      <c r="C13" s="6" t="s">
        <v>7</v>
      </c>
      <c r="D13" s="9">
        <v>11.71</v>
      </c>
    </row>
    <row r="14" spans="1:14" x14ac:dyDescent="0.25">
      <c r="A14" s="5">
        <v>44596</v>
      </c>
      <c r="B14" s="6" t="s">
        <v>137</v>
      </c>
      <c r="C14" s="6" t="s">
        <v>27</v>
      </c>
      <c r="D14" s="9">
        <v>16.87</v>
      </c>
    </row>
    <row r="15" spans="1:14" x14ac:dyDescent="0.25">
      <c r="A15" s="5">
        <v>44600</v>
      </c>
      <c r="B15" s="6" t="s">
        <v>138</v>
      </c>
      <c r="C15" s="6" t="s">
        <v>97</v>
      </c>
      <c r="D15" s="9">
        <v>25</v>
      </c>
    </row>
    <row r="16" spans="1:14" x14ac:dyDescent="0.25">
      <c r="A16" s="5">
        <v>44607</v>
      </c>
      <c r="B16" s="6" t="s">
        <v>141</v>
      </c>
      <c r="C16" s="6" t="s">
        <v>142</v>
      </c>
      <c r="D16" s="9">
        <v>138.86000000000001</v>
      </c>
    </row>
    <row r="17" spans="1:4" x14ac:dyDescent="0.25">
      <c r="A17" s="5">
        <v>44608</v>
      </c>
      <c r="B17" s="6" t="s">
        <v>143</v>
      </c>
      <c r="C17" s="6" t="s">
        <v>36</v>
      </c>
      <c r="D17" s="9">
        <v>975</v>
      </c>
    </row>
    <row r="18" spans="1:4" x14ac:dyDescent="0.25">
      <c r="A18" s="5">
        <v>44614</v>
      </c>
      <c r="B18" s="6" t="s">
        <v>144</v>
      </c>
      <c r="C18" s="6" t="s">
        <v>145</v>
      </c>
      <c r="D18" s="9">
        <v>263.92</v>
      </c>
    </row>
    <row r="19" spans="1:4" x14ac:dyDescent="0.25">
      <c r="A19" s="5">
        <v>44616</v>
      </c>
      <c r="B19" s="6" t="s">
        <v>146</v>
      </c>
      <c r="C19" s="6" t="s">
        <v>7</v>
      </c>
      <c r="D19" s="9">
        <v>18.75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topLeftCell="A2" workbookViewId="0">
      <selection activeCell="N9" sqref="N9"/>
    </sheetView>
  </sheetViews>
  <sheetFormatPr defaultRowHeight="15" x14ac:dyDescent="0.25"/>
  <cols>
    <col min="1" max="1" width="23.28515625" bestFit="1" customWidth="1"/>
  </cols>
  <sheetData>
    <row r="1" spans="1:14" x14ac:dyDescent="0.25">
      <c r="A1" s="17" t="s">
        <v>107</v>
      </c>
      <c r="B1" s="17" t="s">
        <v>52</v>
      </c>
      <c r="C1" s="17" t="s">
        <v>53</v>
      </c>
      <c r="D1" s="17" t="s">
        <v>54</v>
      </c>
      <c r="E1" s="17" t="s">
        <v>55</v>
      </c>
      <c r="F1" s="17" t="s">
        <v>56</v>
      </c>
      <c r="G1" s="17" t="s">
        <v>57</v>
      </c>
      <c r="H1" s="17" t="s">
        <v>58</v>
      </c>
      <c r="I1" s="17" t="s">
        <v>59</v>
      </c>
      <c r="J1" s="17" t="s">
        <v>60</v>
      </c>
      <c r="K1" s="17" t="s">
        <v>61</v>
      </c>
      <c r="L1" s="17" t="s">
        <v>62</v>
      </c>
      <c r="M1" s="17" t="s">
        <v>63</v>
      </c>
      <c r="N1" s="17" t="s">
        <v>2</v>
      </c>
    </row>
    <row r="2" spans="1:14" x14ac:dyDescent="0.25">
      <c r="A2" s="15" t="s">
        <v>114</v>
      </c>
      <c r="B2" s="15">
        <v>287.95</v>
      </c>
      <c r="C2" s="15"/>
      <c r="D2" s="15"/>
      <c r="E2" s="30">
        <v>350</v>
      </c>
      <c r="F2" s="15"/>
      <c r="G2" s="30">
        <v>350</v>
      </c>
      <c r="H2" s="15"/>
      <c r="I2" s="15"/>
      <c r="J2" s="30">
        <v>350</v>
      </c>
      <c r="K2" s="15"/>
      <c r="L2" s="15"/>
      <c r="M2" s="15">
        <f>413.46+287.95</f>
        <v>701.41</v>
      </c>
      <c r="N2" s="17">
        <f t="shared" ref="N2:N5" si="0">SUM(B2:M2)</f>
        <v>2039.3600000000001</v>
      </c>
    </row>
    <row r="3" spans="1:14" x14ac:dyDescent="0.25">
      <c r="A3" s="21" t="s">
        <v>104</v>
      </c>
      <c r="B3" s="15">
        <f>225.63+44.22</f>
        <v>269.85000000000002</v>
      </c>
      <c r="C3" s="15"/>
      <c r="D3" s="15"/>
      <c r="E3" s="30">
        <f>225.63+44.22</f>
        <v>269.85000000000002</v>
      </c>
      <c r="F3" s="15"/>
      <c r="G3" s="30">
        <f>500</f>
        <v>500</v>
      </c>
      <c r="H3" s="15"/>
      <c r="I3" s="15"/>
      <c r="J3" s="30">
        <f>225.63+44.22</f>
        <v>269.85000000000002</v>
      </c>
      <c r="K3" s="15"/>
      <c r="L3" s="15"/>
      <c r="M3" s="15"/>
      <c r="N3" s="17">
        <f t="shared" si="0"/>
        <v>1309.5500000000002</v>
      </c>
    </row>
    <row r="4" spans="1:14" x14ac:dyDescent="0.25">
      <c r="A4" s="21" t="s">
        <v>115</v>
      </c>
      <c r="B4" s="15">
        <v>24</v>
      </c>
      <c r="C4" s="15"/>
      <c r="D4" s="15"/>
      <c r="E4" s="30">
        <v>36</v>
      </c>
      <c r="F4" s="15"/>
      <c r="G4" s="30">
        <v>36</v>
      </c>
      <c r="H4" s="15"/>
      <c r="I4" s="15"/>
      <c r="J4" s="30">
        <v>36</v>
      </c>
      <c r="K4" s="15"/>
      <c r="L4" s="15"/>
      <c r="M4" s="15"/>
      <c r="N4" s="17">
        <f t="shared" si="0"/>
        <v>132</v>
      </c>
    </row>
    <row r="5" spans="1:14" x14ac:dyDescent="0.25">
      <c r="A5" s="21" t="s">
        <v>88</v>
      </c>
      <c r="B5" s="15">
        <v>113.64</v>
      </c>
      <c r="C5" s="15"/>
      <c r="D5" s="15"/>
      <c r="E5" s="30">
        <v>113.64</v>
      </c>
      <c r="F5" s="15"/>
      <c r="G5" s="30">
        <v>113.64</v>
      </c>
      <c r="H5" s="15"/>
      <c r="I5" s="15"/>
      <c r="J5" s="30">
        <v>113.64</v>
      </c>
      <c r="K5" s="15"/>
      <c r="L5" s="30">
        <v>300</v>
      </c>
      <c r="M5" s="15"/>
      <c r="N5" s="17">
        <f t="shared" si="0"/>
        <v>754.56</v>
      </c>
    </row>
    <row r="6" spans="1:14" x14ac:dyDescent="0.25">
      <c r="A6" s="21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7">
        <f>SUM(C6:M6)</f>
        <v>0</v>
      </c>
    </row>
    <row r="7" spans="1:14" x14ac:dyDescent="0.25">
      <c r="A7" s="21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>
        <f>SUM(N2:N6)</f>
        <v>4235.47</v>
      </c>
    </row>
    <row r="8" spans="1:14" x14ac:dyDescent="0.25">
      <c r="A8" s="15"/>
      <c r="B8" s="15"/>
      <c r="C8" s="15"/>
      <c r="D8" s="15"/>
      <c r="E8" s="15" t="s">
        <v>120</v>
      </c>
      <c r="F8" s="15"/>
      <c r="G8" s="15" t="s">
        <v>121</v>
      </c>
      <c r="H8" s="15"/>
      <c r="I8" s="15"/>
      <c r="J8" s="15" t="s">
        <v>122</v>
      </c>
      <c r="K8" s="15"/>
      <c r="L8" s="15" t="s">
        <v>123</v>
      </c>
      <c r="M8" s="15"/>
      <c r="N8" s="15"/>
    </row>
    <row r="9" spans="1:14" x14ac:dyDescent="0.25">
      <c r="A9" s="15" t="s">
        <v>114</v>
      </c>
      <c r="B9" s="15"/>
      <c r="C9" s="15"/>
      <c r="D9" s="15"/>
      <c r="E9" s="15"/>
      <c r="F9" s="30">
        <v>500</v>
      </c>
      <c r="G9" s="15"/>
      <c r="H9" s="15"/>
      <c r="I9" s="30">
        <v>350</v>
      </c>
      <c r="J9" s="30">
        <v>350</v>
      </c>
      <c r="K9" s="15"/>
      <c r="L9" s="15"/>
      <c r="M9" s="30"/>
      <c r="N9" s="17">
        <f t="shared" ref="N9:N20" si="1">SUM(B9:M9)</f>
        <v>1200</v>
      </c>
    </row>
    <row r="10" spans="1:14" x14ac:dyDescent="0.25">
      <c r="A10" s="21" t="s">
        <v>104</v>
      </c>
      <c r="B10" s="15"/>
      <c r="C10" s="15"/>
      <c r="D10" s="15"/>
      <c r="E10" s="15"/>
      <c r="F10" s="30">
        <v>1000</v>
      </c>
      <c r="G10" s="15"/>
      <c r="H10" s="15"/>
      <c r="I10" s="30">
        <f>500</f>
        <v>500</v>
      </c>
      <c r="J10" s="30">
        <v>600</v>
      </c>
      <c r="K10" s="15"/>
      <c r="L10" s="15"/>
      <c r="M10" s="30">
        <f>130.06+491.39</f>
        <v>621.45000000000005</v>
      </c>
      <c r="N10" s="17">
        <f t="shared" si="1"/>
        <v>2721.45</v>
      </c>
    </row>
    <row r="11" spans="1:14" x14ac:dyDescent="0.25">
      <c r="A11" s="21" t="s">
        <v>115</v>
      </c>
      <c r="B11" s="15"/>
      <c r="C11" s="15"/>
      <c r="D11" s="15"/>
      <c r="E11" s="15"/>
      <c r="F11" s="30">
        <v>113</v>
      </c>
      <c r="G11" s="15"/>
      <c r="H11" s="15"/>
      <c r="I11" s="30">
        <v>24</v>
      </c>
      <c r="J11" s="30">
        <v>24</v>
      </c>
      <c r="K11" s="15"/>
      <c r="L11" s="15"/>
      <c r="M11" s="30">
        <v>100</v>
      </c>
      <c r="N11" s="17">
        <f t="shared" si="1"/>
        <v>261</v>
      </c>
    </row>
    <row r="12" spans="1:14" x14ac:dyDescent="0.25">
      <c r="A12" s="21" t="s">
        <v>88</v>
      </c>
      <c r="B12" s="30">
        <v>30</v>
      </c>
      <c r="C12" s="30">
        <v>30</v>
      </c>
      <c r="D12" s="30">
        <v>30</v>
      </c>
      <c r="E12" s="30">
        <v>30</v>
      </c>
      <c r="F12" s="30">
        <v>400</v>
      </c>
      <c r="G12" s="30">
        <v>30</v>
      </c>
      <c r="H12" s="30">
        <v>30</v>
      </c>
      <c r="I12" s="30">
        <v>113.64</v>
      </c>
      <c r="J12" s="30">
        <v>113.64</v>
      </c>
      <c r="K12" s="30">
        <v>30</v>
      </c>
      <c r="L12" s="30">
        <v>30</v>
      </c>
      <c r="M12" s="30">
        <v>300</v>
      </c>
      <c r="N12" s="17">
        <f t="shared" si="1"/>
        <v>1167.28</v>
      </c>
    </row>
    <row r="13" spans="1:14" x14ac:dyDescent="0.25">
      <c r="A13" s="21" t="s">
        <v>36</v>
      </c>
      <c r="B13" s="15"/>
      <c r="C13" s="15"/>
      <c r="D13" s="15"/>
      <c r="E13" s="15"/>
      <c r="F13" s="34">
        <v>900</v>
      </c>
      <c r="G13" s="15"/>
      <c r="H13" s="15"/>
      <c r="I13" s="34">
        <v>900</v>
      </c>
      <c r="J13" s="15"/>
      <c r="K13" s="15"/>
      <c r="L13" s="15"/>
      <c r="M13" s="30">
        <v>600</v>
      </c>
      <c r="N13" s="17">
        <f t="shared" si="1"/>
        <v>2400</v>
      </c>
    </row>
    <row r="14" spans="1:14" x14ac:dyDescent="0.25">
      <c r="A14" s="21" t="s">
        <v>2</v>
      </c>
      <c r="B14" s="15"/>
      <c r="C14" s="15"/>
      <c r="D14" s="15"/>
      <c r="E14" s="15"/>
      <c r="F14" s="15" t="s">
        <v>124</v>
      </c>
      <c r="G14" s="15"/>
      <c r="H14" s="15"/>
      <c r="I14" s="15" t="s">
        <v>126</v>
      </c>
      <c r="J14" s="15" t="s">
        <v>127</v>
      </c>
      <c r="K14" s="15"/>
      <c r="L14" s="15"/>
      <c r="M14" s="15" t="s">
        <v>128</v>
      </c>
      <c r="N14" s="22">
        <f>SUM(N8:N13)</f>
        <v>7749.73</v>
      </c>
    </row>
    <row r="15" spans="1:14" s="15" customFormat="1" x14ac:dyDescent="0.25">
      <c r="A15" s="21"/>
      <c r="N15" s="22"/>
    </row>
    <row r="16" spans="1:14" x14ac:dyDescent="0.25">
      <c r="A16" s="22" t="s">
        <v>88</v>
      </c>
      <c r="B16" s="15">
        <v>116.24</v>
      </c>
      <c r="C16" s="15"/>
      <c r="D16" s="30">
        <f>B16*5</f>
        <v>581.19999999999993</v>
      </c>
      <c r="E16" s="15"/>
      <c r="F16" s="15"/>
      <c r="G16" s="30">
        <v>500</v>
      </c>
      <c r="H16" s="30">
        <v>300</v>
      </c>
      <c r="I16" s="15"/>
      <c r="J16" s="7"/>
      <c r="K16" s="30">
        <v>500</v>
      </c>
      <c r="L16" s="30">
        <v>400</v>
      </c>
      <c r="M16" s="15"/>
      <c r="N16" s="17">
        <f t="shared" si="1"/>
        <v>2397.44</v>
      </c>
    </row>
    <row r="17" spans="1:14" x14ac:dyDescent="0.25">
      <c r="A17" s="22" t="s">
        <v>113</v>
      </c>
      <c r="B17" s="15">
        <f>77.54+36</f>
        <v>113.54</v>
      </c>
      <c r="C17" s="15"/>
      <c r="D17" s="30">
        <f>77.54+36</f>
        <v>113.54</v>
      </c>
      <c r="E17" s="15"/>
      <c r="F17" s="15"/>
      <c r="G17" s="30">
        <v>100</v>
      </c>
      <c r="H17" s="30"/>
      <c r="I17" s="15"/>
      <c r="J17" s="7"/>
      <c r="K17" s="30">
        <v>100</v>
      </c>
      <c r="L17" s="30">
        <v>100</v>
      </c>
      <c r="M17" s="15"/>
      <c r="N17" s="17">
        <f t="shared" si="1"/>
        <v>527.08000000000004</v>
      </c>
    </row>
    <row r="18" spans="1:14" x14ac:dyDescent="0.25">
      <c r="A18" s="22" t="s">
        <v>104</v>
      </c>
      <c r="B18" s="15">
        <v>296.58</v>
      </c>
      <c r="C18" s="15"/>
      <c r="D18" s="30">
        <f>334*1.1*4</f>
        <v>1469.6000000000001</v>
      </c>
      <c r="E18" s="15"/>
      <c r="F18" s="15"/>
      <c r="G18" s="30">
        <f>334*1.1*5</f>
        <v>1837.0000000000002</v>
      </c>
      <c r="H18" s="30">
        <v>750</v>
      </c>
      <c r="I18" s="15"/>
      <c r="J18" s="7"/>
      <c r="K18" s="30">
        <f>334*1.1*5</f>
        <v>1837.0000000000002</v>
      </c>
      <c r="L18" s="30">
        <v>1250</v>
      </c>
      <c r="M18" s="15"/>
      <c r="N18" s="17">
        <f t="shared" si="1"/>
        <v>7440.18</v>
      </c>
    </row>
    <row r="19" spans="1:14" x14ac:dyDescent="0.25">
      <c r="A19" s="22" t="s">
        <v>114</v>
      </c>
      <c r="B19" s="15"/>
      <c r="C19" s="15"/>
      <c r="D19" s="15"/>
      <c r="E19" s="15"/>
      <c r="F19" s="15"/>
      <c r="G19" s="30">
        <v>654.96</v>
      </c>
      <c r="H19" s="15"/>
      <c r="I19" s="15"/>
      <c r="J19" s="7"/>
      <c r="K19" s="30">
        <v>654.96</v>
      </c>
      <c r="L19" s="30">
        <v>350</v>
      </c>
      <c r="M19" s="15"/>
      <c r="N19" s="17">
        <f t="shared" si="1"/>
        <v>1659.92</v>
      </c>
    </row>
    <row r="20" spans="1:14" x14ac:dyDescent="0.25">
      <c r="A20" s="22" t="s">
        <v>36</v>
      </c>
      <c r="B20" s="15"/>
      <c r="C20" s="15"/>
      <c r="D20" s="15"/>
      <c r="E20" s="15"/>
      <c r="F20" s="15"/>
      <c r="G20" s="30">
        <v>925</v>
      </c>
      <c r="H20" s="15"/>
      <c r="I20" s="15"/>
      <c r="J20" s="7"/>
      <c r="K20" s="30"/>
      <c r="L20" s="30">
        <v>900</v>
      </c>
      <c r="M20" s="15"/>
      <c r="N20" s="17">
        <f t="shared" si="1"/>
        <v>1825</v>
      </c>
    </row>
    <row r="21" spans="1:14" x14ac:dyDescent="0.25">
      <c r="A21" s="22" t="s">
        <v>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2">
        <f>SUM(N16:N20)</f>
        <v>13849.62</v>
      </c>
    </row>
    <row r="22" spans="1:14" x14ac:dyDescent="0.25">
      <c r="A22" s="22"/>
      <c r="B22" s="15" t="s">
        <v>124</v>
      </c>
      <c r="C22" s="15"/>
      <c r="D22" s="15" t="s">
        <v>124</v>
      </c>
      <c r="E22" s="15"/>
      <c r="F22" s="15"/>
      <c r="G22" s="15" t="s">
        <v>129</v>
      </c>
      <c r="H22" s="15" t="s">
        <v>130</v>
      </c>
      <c r="I22" s="15"/>
      <c r="J22" s="15"/>
      <c r="K22" s="15" t="s">
        <v>125</v>
      </c>
      <c r="L22" s="15" t="s">
        <v>125</v>
      </c>
      <c r="M22" s="15"/>
    </row>
    <row r="23" spans="1:14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x14ac:dyDescent="0.25">
      <c r="B24" t="s">
        <v>124</v>
      </c>
      <c r="D24" t="s">
        <v>124</v>
      </c>
      <c r="E24" t="s">
        <v>131</v>
      </c>
      <c r="F24" t="s">
        <v>124</v>
      </c>
      <c r="G24" t="s">
        <v>132</v>
      </c>
      <c r="H24" t="s">
        <v>133</v>
      </c>
      <c r="I24" t="s">
        <v>86</v>
      </c>
      <c r="J24" t="s">
        <v>134</v>
      </c>
      <c r="K24" t="s">
        <v>134</v>
      </c>
      <c r="L24" t="s">
        <v>134</v>
      </c>
      <c r="M24" t="s">
        <v>135</v>
      </c>
    </row>
    <row r="25" spans="1:14" x14ac:dyDescent="0.25">
      <c r="B25">
        <v>1</v>
      </c>
      <c r="C25">
        <v>0</v>
      </c>
      <c r="D25">
        <v>1</v>
      </c>
      <c r="E25">
        <v>1</v>
      </c>
      <c r="F25">
        <v>1</v>
      </c>
      <c r="G25">
        <v>2</v>
      </c>
      <c r="H25">
        <v>1</v>
      </c>
      <c r="I25">
        <v>1</v>
      </c>
      <c r="J25">
        <v>2</v>
      </c>
      <c r="K25">
        <v>1</v>
      </c>
      <c r="L25">
        <v>1</v>
      </c>
      <c r="M25">
        <v>1</v>
      </c>
      <c r="N25">
        <f>SUM(B25:M25)</f>
        <v>13</v>
      </c>
    </row>
    <row r="26" spans="1:14" x14ac:dyDescent="0.25">
      <c r="N26">
        <f>N7+N14+N21</f>
        <v>25834.82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workbookViewId="0">
      <selection activeCell="C9" sqref="C9"/>
    </sheetView>
  </sheetViews>
  <sheetFormatPr defaultRowHeight="15" x14ac:dyDescent="0.25"/>
  <cols>
    <col min="1" max="1" width="27.140625" style="15" bestFit="1" customWidth="1"/>
    <col min="2" max="4" width="18.85546875" style="15" bestFit="1" customWidth="1"/>
    <col min="5" max="6" width="18.85546875" style="15" customWidth="1"/>
    <col min="7" max="7" width="9.140625" style="15"/>
    <col min="8" max="8" width="19.7109375" style="15" bestFit="1" customWidth="1"/>
    <col min="9" max="9" width="39.85546875" style="15" bestFit="1" customWidth="1"/>
    <col min="10" max="10" width="15.5703125" style="15" bestFit="1" customWidth="1"/>
    <col min="11" max="16384" width="9.140625" style="15"/>
  </cols>
  <sheetData>
    <row r="1" spans="1:16" ht="21" x14ac:dyDescent="0.35">
      <c r="A1" s="36"/>
      <c r="B1" s="36" t="s">
        <v>162</v>
      </c>
      <c r="C1" s="36" t="s">
        <v>163</v>
      </c>
      <c r="D1" s="36" t="s">
        <v>164</v>
      </c>
      <c r="E1" s="36" t="s">
        <v>118</v>
      </c>
      <c r="F1" s="36" t="s">
        <v>167</v>
      </c>
    </row>
    <row r="2" spans="1:16" ht="21" x14ac:dyDescent="0.35">
      <c r="A2" s="37" t="s">
        <v>49</v>
      </c>
      <c r="B2" s="64">
        <v>224667</v>
      </c>
      <c r="C2" s="64">
        <v>271250</v>
      </c>
      <c r="D2" s="64">
        <f t="shared" ref="D2:D7" si="0">C2-B2</f>
        <v>46583</v>
      </c>
      <c r="E2" s="64">
        <f>B2+(22511.36*3)</f>
        <v>292201.08</v>
      </c>
      <c r="F2" s="64">
        <f>C2-E2</f>
        <v>-20951.080000000016</v>
      </c>
      <c r="H2" s="64">
        <v>79223.399999999994</v>
      </c>
      <c r="I2" s="65" t="s">
        <v>533</v>
      </c>
    </row>
    <row r="3" spans="1:16" ht="21" x14ac:dyDescent="0.35">
      <c r="A3" s="37" t="s">
        <v>157</v>
      </c>
      <c r="B3" s="64">
        <v>58330</v>
      </c>
      <c r="C3" s="64">
        <v>70000</v>
      </c>
      <c r="D3" s="64">
        <f t="shared" si="0"/>
        <v>11670</v>
      </c>
      <c r="E3" s="64">
        <v>69996</v>
      </c>
      <c r="F3" s="64">
        <v>4</v>
      </c>
      <c r="H3" s="64">
        <v>624653</v>
      </c>
      <c r="I3" s="65" t="s">
        <v>159</v>
      </c>
    </row>
    <row r="4" spans="1:16" ht="21" x14ac:dyDescent="0.35">
      <c r="A4" s="37" t="s">
        <v>72</v>
      </c>
      <c r="B4" s="64">
        <v>45000</v>
      </c>
      <c r="C4" s="64">
        <v>60000</v>
      </c>
      <c r="D4" s="64">
        <f t="shared" si="0"/>
        <v>15000</v>
      </c>
      <c r="E4" s="64">
        <v>60000</v>
      </c>
      <c r="F4" s="64">
        <v>0</v>
      </c>
      <c r="H4" s="64">
        <f>-B8</f>
        <v>-466714.42000000004</v>
      </c>
      <c r="I4" s="65" t="s">
        <v>532</v>
      </c>
    </row>
    <row r="5" spans="1:16" ht="21" x14ac:dyDescent="0.35">
      <c r="A5" s="37" t="s">
        <v>158</v>
      </c>
      <c r="B5" s="64">
        <v>71965</v>
      </c>
      <c r="C5" s="64">
        <v>160000</v>
      </c>
      <c r="D5" s="64">
        <f t="shared" si="0"/>
        <v>88035</v>
      </c>
      <c r="E5" s="64">
        <v>119965</v>
      </c>
      <c r="F5" s="64">
        <f>C5-E5</f>
        <v>40035</v>
      </c>
      <c r="H5" s="64">
        <f>H2+H3+H4</f>
        <v>237161.97999999998</v>
      </c>
      <c r="I5" s="65" t="s">
        <v>2</v>
      </c>
    </row>
    <row r="6" spans="1:16" ht="21" x14ac:dyDescent="0.35">
      <c r="A6" s="37" t="s">
        <v>165</v>
      </c>
      <c r="B6" s="64">
        <v>37095.199999999997</v>
      </c>
      <c r="C6" s="64">
        <v>20000</v>
      </c>
      <c r="D6" s="64">
        <f t="shared" si="0"/>
        <v>-17095.199999999997</v>
      </c>
      <c r="E6" s="64">
        <v>42500</v>
      </c>
      <c r="F6" s="64">
        <f>C6-E6</f>
        <v>-22500</v>
      </c>
      <c r="H6" s="64"/>
      <c r="I6" s="65"/>
    </row>
    <row r="7" spans="1:16" ht="21" x14ac:dyDescent="0.35">
      <c r="A7" s="37" t="s">
        <v>168</v>
      </c>
      <c r="B7" s="64">
        <v>29657.22</v>
      </c>
      <c r="C7" s="64">
        <v>55000</v>
      </c>
      <c r="D7" s="64">
        <f t="shared" si="0"/>
        <v>25342.78</v>
      </c>
      <c r="E7" s="64">
        <v>45000</v>
      </c>
      <c r="F7" s="64">
        <f>C7-E7</f>
        <v>10000</v>
      </c>
      <c r="H7" s="64">
        <v>40249</v>
      </c>
      <c r="I7" s="65" t="s">
        <v>160</v>
      </c>
    </row>
    <row r="8" spans="1:16" ht="21" x14ac:dyDescent="0.35">
      <c r="A8" s="25"/>
      <c r="B8" s="37">
        <f>SUM(B2:B7)</f>
        <v>466714.42000000004</v>
      </c>
      <c r="C8" s="37">
        <f>SUM(C2:C7)</f>
        <v>636250</v>
      </c>
      <c r="D8" s="25"/>
      <c r="E8" s="37">
        <f>SUM(E2:E7)</f>
        <v>629662.08000000007</v>
      </c>
      <c r="F8" s="37">
        <f>SUM(F2:F7)</f>
        <v>6587.9199999999837</v>
      </c>
      <c r="H8" s="64">
        <f>H3+H7</f>
        <v>664902</v>
      </c>
      <c r="I8" s="65" t="s">
        <v>534</v>
      </c>
    </row>
    <row r="9" spans="1:16" ht="21" x14ac:dyDescent="0.35">
      <c r="C9" s="8"/>
      <c r="F9" s="8"/>
      <c r="H9" s="37">
        <f>E8</f>
        <v>629662.08000000007</v>
      </c>
      <c r="I9" s="36" t="s">
        <v>171</v>
      </c>
    </row>
    <row r="10" spans="1:16" ht="21" x14ac:dyDescent="0.35">
      <c r="C10" s="8"/>
      <c r="H10" s="37">
        <f>H2+H8-H9</f>
        <v>114463.31999999995</v>
      </c>
      <c r="I10" s="37" t="s">
        <v>161</v>
      </c>
    </row>
    <row r="12" spans="1:16" ht="21" x14ac:dyDescent="0.35">
      <c r="H12" s="37">
        <f>H10-H2</f>
        <v>35239.919999999955</v>
      </c>
      <c r="I12" s="37" t="s">
        <v>535</v>
      </c>
    </row>
    <row r="13" spans="1:16" x14ac:dyDescent="0.25">
      <c r="B13" s="8"/>
    </row>
    <row r="14" spans="1:16" ht="21" x14ac:dyDescent="0.35">
      <c r="H14" s="8"/>
      <c r="J14" s="63"/>
      <c r="K14" s="49"/>
      <c r="L14" s="7"/>
      <c r="M14" s="7"/>
      <c r="N14" s="7"/>
      <c r="O14" s="7"/>
      <c r="P14" s="7"/>
    </row>
    <row r="17" spans="8:9" ht="21" x14ac:dyDescent="0.35">
      <c r="H17" s="54">
        <v>44599</v>
      </c>
      <c r="I17" s="55" t="s">
        <v>416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4"/>
  <sheetViews>
    <sheetView topLeftCell="A16" workbookViewId="0">
      <selection activeCell="A3" sqref="A3:D32"/>
    </sheetView>
  </sheetViews>
  <sheetFormatPr defaultRowHeight="15" x14ac:dyDescent="0.25"/>
  <cols>
    <col min="1" max="1" width="15.42578125" bestFit="1" customWidth="1"/>
    <col min="2" max="2" width="25.85546875" bestFit="1" customWidth="1"/>
    <col min="3" max="3" width="30.7109375" bestFit="1" customWidth="1"/>
    <col min="4" max="4" width="12.5703125" style="8" bestFit="1" customWidth="1"/>
    <col min="5" max="5" width="37.42578125" bestFit="1" customWidth="1"/>
    <col min="7" max="7" width="10.7109375" bestFit="1" customWidth="1"/>
    <col min="8" max="8" width="5.85546875" bestFit="1" customWidth="1"/>
    <col min="9" max="9" width="5.42578125" bestFit="1" customWidth="1"/>
    <col min="10" max="10" width="9" bestFit="1" customWidth="1"/>
    <col min="11" max="11" width="7" bestFit="1" customWidth="1"/>
  </cols>
  <sheetData>
    <row r="1" spans="1:4" x14ac:dyDescent="0.25">
      <c r="A1" t="s">
        <v>3</v>
      </c>
      <c r="B1" s="4">
        <v>44834</v>
      </c>
    </row>
    <row r="3" spans="1:4" x14ac:dyDescent="0.25">
      <c r="A3" t="s">
        <v>0</v>
      </c>
      <c r="B3" t="s">
        <v>4</v>
      </c>
      <c r="C3" t="s">
        <v>1</v>
      </c>
      <c r="D3" s="8" t="s">
        <v>5</v>
      </c>
    </row>
    <row r="4" spans="1:4" s="15" customFormat="1" x14ac:dyDescent="0.25">
      <c r="A4" s="24">
        <v>44809</v>
      </c>
      <c r="B4" s="17" t="s">
        <v>338</v>
      </c>
      <c r="C4" s="17" t="s">
        <v>339</v>
      </c>
      <c r="D4" s="39">
        <v>70</v>
      </c>
    </row>
    <row r="5" spans="1:4" x14ac:dyDescent="0.25">
      <c r="A5" s="5">
        <v>44810</v>
      </c>
      <c r="B5" s="6" t="s">
        <v>340</v>
      </c>
      <c r="C5" s="6" t="s">
        <v>341</v>
      </c>
      <c r="D5" s="9">
        <v>112.5</v>
      </c>
    </row>
    <row r="6" spans="1:4" x14ac:dyDescent="0.25">
      <c r="A6" s="5">
        <v>44811</v>
      </c>
      <c r="B6" s="6" t="s">
        <v>192</v>
      </c>
      <c r="C6" s="6" t="s">
        <v>145</v>
      </c>
      <c r="D6" s="9">
        <v>271.14999999999998</v>
      </c>
    </row>
    <row r="7" spans="1:4" x14ac:dyDescent="0.25">
      <c r="A7" s="5">
        <v>44811</v>
      </c>
      <c r="B7" s="6" t="s">
        <v>343</v>
      </c>
      <c r="C7" s="6" t="s">
        <v>342</v>
      </c>
      <c r="D7" s="9">
        <v>975</v>
      </c>
    </row>
    <row r="8" spans="1:4" s="15" customFormat="1" x14ac:dyDescent="0.25">
      <c r="A8" s="5">
        <v>44812</v>
      </c>
      <c r="B8" s="6" t="s">
        <v>344</v>
      </c>
      <c r="C8" s="6" t="s">
        <v>84</v>
      </c>
      <c r="D8" s="9">
        <v>78.38</v>
      </c>
    </row>
    <row r="9" spans="1:4" s="15" customFormat="1" x14ac:dyDescent="0.25">
      <c r="A9" s="4">
        <v>44816</v>
      </c>
      <c r="B9" s="22" t="s">
        <v>348</v>
      </c>
      <c r="C9" s="22" t="s">
        <v>349</v>
      </c>
      <c r="D9" s="48">
        <v>102.72</v>
      </c>
    </row>
    <row r="10" spans="1:4" s="15" customFormat="1" x14ac:dyDescent="0.25">
      <c r="A10" s="5">
        <v>44817</v>
      </c>
      <c r="B10" s="6" t="s">
        <v>345</v>
      </c>
      <c r="C10" s="6" t="s">
        <v>346</v>
      </c>
      <c r="D10" s="9">
        <v>148.63</v>
      </c>
    </row>
    <row r="11" spans="1:4" x14ac:dyDescent="0.25">
      <c r="A11" s="4">
        <v>44817</v>
      </c>
      <c r="B11" s="22" t="s">
        <v>350</v>
      </c>
      <c r="C11" s="22" t="s">
        <v>351</v>
      </c>
      <c r="D11" s="8">
        <v>317.92</v>
      </c>
    </row>
    <row r="12" spans="1:4" x14ac:dyDescent="0.25">
      <c r="A12" s="5">
        <v>44817</v>
      </c>
      <c r="B12" s="6" t="s">
        <v>176</v>
      </c>
      <c r="C12" s="6" t="s">
        <v>347</v>
      </c>
      <c r="D12" s="9">
        <v>84</v>
      </c>
    </row>
    <row r="13" spans="1:4" s="15" customFormat="1" x14ac:dyDescent="0.25">
      <c r="A13" s="5">
        <v>44818</v>
      </c>
      <c r="B13" s="6" t="s">
        <v>31</v>
      </c>
      <c r="C13" s="6" t="s">
        <v>30</v>
      </c>
      <c r="D13" s="9">
        <v>42</v>
      </c>
    </row>
    <row r="14" spans="1:4" s="15" customFormat="1" x14ac:dyDescent="0.25">
      <c r="A14" s="5">
        <v>44818</v>
      </c>
      <c r="B14" s="6" t="s">
        <v>350</v>
      </c>
      <c r="C14" s="6" t="s">
        <v>352</v>
      </c>
      <c r="D14" s="9">
        <v>158.99</v>
      </c>
    </row>
    <row r="15" spans="1:4" s="15" customFormat="1" x14ac:dyDescent="0.25">
      <c r="A15" s="5">
        <v>44818</v>
      </c>
      <c r="B15" s="6" t="s">
        <v>353</v>
      </c>
      <c r="C15" s="6" t="s">
        <v>352</v>
      </c>
      <c r="D15" s="9">
        <v>10.09</v>
      </c>
    </row>
    <row r="16" spans="1:4" x14ac:dyDescent="0.25">
      <c r="A16" s="5">
        <v>44818</v>
      </c>
      <c r="B16" s="6" t="s">
        <v>354</v>
      </c>
      <c r="C16" s="6" t="s">
        <v>355</v>
      </c>
      <c r="D16" s="9">
        <v>193.32</v>
      </c>
    </row>
    <row r="17" spans="1:5" s="15" customFormat="1" x14ac:dyDescent="0.25">
      <c r="A17" s="24">
        <v>44825</v>
      </c>
      <c r="B17" s="6" t="s">
        <v>290</v>
      </c>
      <c r="C17" s="6" t="s">
        <v>136</v>
      </c>
      <c r="D17" s="9">
        <v>220.14</v>
      </c>
    </row>
    <row r="18" spans="1:5" x14ac:dyDescent="0.25">
      <c r="A18" s="24">
        <v>44825</v>
      </c>
      <c r="B18" s="17" t="s">
        <v>219</v>
      </c>
      <c r="C18" s="17" t="s">
        <v>356</v>
      </c>
      <c r="D18" s="39">
        <v>650</v>
      </c>
    </row>
    <row r="19" spans="1:5" s="15" customFormat="1" x14ac:dyDescent="0.25">
      <c r="A19" s="24">
        <v>44826</v>
      </c>
      <c r="B19" s="17" t="s">
        <v>357</v>
      </c>
      <c r="C19" s="17" t="s">
        <v>358</v>
      </c>
      <c r="D19" s="39">
        <v>25.7</v>
      </c>
    </row>
    <row r="20" spans="1:5" s="15" customFormat="1" x14ac:dyDescent="0.25">
      <c r="A20" s="24">
        <v>44830</v>
      </c>
      <c r="B20" s="17" t="s">
        <v>359</v>
      </c>
      <c r="C20" s="17" t="s">
        <v>360</v>
      </c>
      <c r="D20" s="39">
        <v>17</v>
      </c>
    </row>
    <row r="21" spans="1:5" s="15" customFormat="1" x14ac:dyDescent="0.25">
      <c r="A21" s="24">
        <v>44831</v>
      </c>
      <c r="B21" s="17" t="s">
        <v>361</v>
      </c>
      <c r="C21" s="17" t="s">
        <v>362</v>
      </c>
      <c r="D21" s="42">
        <v>111</v>
      </c>
    </row>
    <row r="22" spans="1:5" s="15" customFormat="1" x14ac:dyDescent="0.25">
      <c r="A22" s="24">
        <v>44833</v>
      </c>
      <c r="B22" s="17" t="s">
        <v>39</v>
      </c>
      <c r="C22" s="17" t="s">
        <v>363</v>
      </c>
      <c r="D22" s="25">
        <v>5.3</v>
      </c>
    </row>
    <row r="23" spans="1:5" s="15" customFormat="1" x14ac:dyDescent="0.25">
      <c r="A23" s="24">
        <v>44834</v>
      </c>
      <c r="B23" s="17" t="s">
        <v>364</v>
      </c>
      <c r="C23" s="17" t="s">
        <v>341</v>
      </c>
      <c r="D23" s="25">
        <v>112.5</v>
      </c>
    </row>
    <row r="24" spans="1:5" s="15" customFormat="1" x14ac:dyDescent="0.25">
      <c r="A24" s="24"/>
      <c r="B24" s="17"/>
      <c r="C24" s="17"/>
      <c r="D24" s="25"/>
    </row>
    <row r="25" spans="1:5" s="15" customFormat="1" x14ac:dyDescent="0.25">
      <c r="A25" s="24"/>
      <c r="B25" s="17"/>
      <c r="C25" s="17"/>
      <c r="D25" s="25"/>
    </row>
    <row r="26" spans="1:5" x14ac:dyDescent="0.25">
      <c r="A26" s="5"/>
      <c r="B26" s="6"/>
      <c r="C26" s="6"/>
      <c r="D26" s="9"/>
    </row>
    <row r="27" spans="1:5" s="15" customFormat="1" x14ac:dyDescent="0.25">
      <c r="A27" s="5"/>
      <c r="B27" s="6"/>
      <c r="C27" s="6"/>
      <c r="D27" s="9"/>
      <c r="E27" s="8"/>
    </row>
    <row r="28" spans="1:5" s="15" customFormat="1" x14ac:dyDescent="0.25">
      <c r="A28" s="5"/>
      <c r="B28" s="6"/>
      <c r="C28" s="6"/>
      <c r="D28" s="9"/>
    </row>
    <row r="29" spans="1:5" s="15" customFormat="1" x14ac:dyDescent="0.25">
      <c r="A29" s="5"/>
      <c r="B29" s="6"/>
      <c r="C29" s="6"/>
      <c r="D29" s="9"/>
    </row>
    <row r="30" spans="1:5" s="15" customFormat="1" x14ac:dyDescent="0.25">
      <c r="A30" s="40"/>
      <c r="B30" s="21"/>
      <c r="C30" s="21"/>
      <c r="D30" s="41"/>
    </row>
    <row r="31" spans="1:5" x14ac:dyDescent="0.25">
      <c r="A31" s="4"/>
      <c r="D31" s="10"/>
    </row>
    <row r="32" spans="1:5" x14ac:dyDescent="0.25">
      <c r="A32" t="s">
        <v>2</v>
      </c>
      <c r="D32" s="10">
        <f>SUM(D4:D29)</f>
        <v>3706.34</v>
      </c>
    </row>
    <row r="34" spans="1:1" x14ac:dyDescent="0.25">
      <c r="A34" s="4"/>
    </row>
  </sheetData>
  <sortState ref="A4:D15">
    <sortCondition ref="A4:A1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4"/>
  <sheetViews>
    <sheetView tabSelected="1" topLeftCell="A68" workbookViewId="0">
      <selection activeCell="D75" activeCellId="11" sqref="D4 D5 D7 D6 D23 D24 D30 D36 D46 D61 D69 D75"/>
    </sheetView>
  </sheetViews>
  <sheetFormatPr defaultRowHeight="15" x14ac:dyDescent="0.25"/>
  <cols>
    <col min="1" max="1" width="15.42578125" style="15" bestFit="1" customWidth="1"/>
    <col min="2" max="2" width="25.85546875" style="15" bestFit="1" customWidth="1"/>
    <col min="3" max="3" width="30.7109375" style="15" bestFit="1" customWidth="1"/>
    <col min="4" max="4" width="12.5703125" style="8" bestFit="1" customWidth="1"/>
    <col min="5" max="5" width="11" style="15" customWidth="1"/>
    <col min="6" max="6" width="14.7109375" style="15" customWidth="1"/>
    <col min="7" max="7" width="23.140625" style="15" bestFit="1" customWidth="1"/>
    <col min="8" max="8" width="26.5703125" style="15" bestFit="1" customWidth="1"/>
    <col min="9" max="9" width="9" style="15" bestFit="1" customWidth="1"/>
    <col min="10" max="10" width="9" style="15" customWidth="1"/>
    <col min="11" max="11" width="9.5703125" style="15" customWidth="1"/>
    <col min="12" max="12" width="26" style="15" bestFit="1" customWidth="1"/>
    <col min="13" max="13" width="28.140625" style="15" bestFit="1" customWidth="1"/>
    <col min="14" max="14" width="10.5703125" style="15" bestFit="1" customWidth="1"/>
    <col min="15" max="15" width="9" style="15" customWidth="1"/>
    <col min="16" max="16" width="9" style="15" bestFit="1" customWidth="1"/>
    <col min="17" max="17" width="9.7109375" style="15" bestFit="1" customWidth="1"/>
    <col min="18" max="18" width="19" style="15" bestFit="1" customWidth="1"/>
    <col min="19" max="19" width="30.7109375" style="15" bestFit="1" customWidth="1"/>
    <col min="20" max="20" width="10.5703125" style="15" bestFit="1" customWidth="1"/>
    <col min="21" max="21" width="9.140625" style="15"/>
    <col min="22" max="22" width="9.7109375" style="15" bestFit="1" customWidth="1"/>
    <col min="23" max="23" width="19.28515625" style="15" bestFit="1" customWidth="1"/>
    <col min="24" max="24" width="26.28515625" style="15" bestFit="1" customWidth="1"/>
    <col min="25" max="25" width="10.5703125" style="15" bestFit="1" customWidth="1"/>
    <col min="26" max="26" width="9.140625" style="15"/>
    <col min="27" max="27" width="9.7109375" style="15" bestFit="1" customWidth="1"/>
    <col min="28" max="28" width="25.28515625" style="15" bestFit="1" customWidth="1"/>
    <col min="29" max="29" width="27.140625" style="15" bestFit="1" customWidth="1"/>
    <col min="30" max="30" width="10.5703125" style="15" bestFit="1" customWidth="1"/>
    <col min="31" max="31" width="9.140625" style="15"/>
    <col min="32" max="32" width="9.7109375" style="15" bestFit="1" customWidth="1"/>
    <col min="33" max="33" width="23.85546875" style="15" bestFit="1" customWidth="1"/>
    <col min="34" max="34" width="21.5703125" style="15" bestFit="1" customWidth="1"/>
    <col min="35" max="35" width="10.5703125" style="15" bestFit="1" customWidth="1"/>
    <col min="36" max="16384" width="9.140625" style="15"/>
  </cols>
  <sheetData>
    <row r="1" spans="1:35" x14ac:dyDescent="0.25">
      <c r="A1" s="15" t="s">
        <v>3</v>
      </c>
      <c r="B1" s="4">
        <v>44742</v>
      </c>
    </row>
    <row r="3" spans="1:35" x14ac:dyDescent="0.25">
      <c r="A3" s="15" t="s">
        <v>0</v>
      </c>
      <c r="B3" s="15" t="s">
        <v>4</v>
      </c>
      <c r="C3" s="15" t="s">
        <v>1</v>
      </c>
      <c r="D3" s="8" t="s">
        <v>5</v>
      </c>
    </row>
    <row r="4" spans="1:35" x14ac:dyDescent="0.25">
      <c r="A4" s="5">
        <v>44567</v>
      </c>
      <c r="B4" s="6" t="s">
        <v>10</v>
      </c>
      <c r="C4" s="6" t="s">
        <v>11</v>
      </c>
      <c r="D4" s="9">
        <v>192.41</v>
      </c>
      <c r="F4" s="24">
        <v>44733</v>
      </c>
      <c r="G4" s="17" t="s">
        <v>30</v>
      </c>
      <c r="H4" s="17" t="s">
        <v>196</v>
      </c>
      <c r="I4" s="42">
        <v>28</v>
      </c>
      <c r="J4" s="41"/>
      <c r="K4" s="5">
        <v>44572</v>
      </c>
      <c r="L4" s="6" t="s">
        <v>16</v>
      </c>
      <c r="M4" s="6" t="s">
        <v>207</v>
      </c>
      <c r="N4" s="9">
        <v>23.92</v>
      </c>
      <c r="O4" s="41"/>
      <c r="Q4" s="5">
        <v>44662</v>
      </c>
      <c r="R4" s="6" t="s">
        <v>208</v>
      </c>
      <c r="S4" s="6" t="s">
        <v>209</v>
      </c>
      <c r="T4" s="9">
        <v>380.98</v>
      </c>
      <c r="V4" s="5">
        <v>44637</v>
      </c>
      <c r="W4" s="6" t="s">
        <v>210</v>
      </c>
      <c r="X4" s="6" t="s">
        <v>211</v>
      </c>
      <c r="Y4" s="9">
        <v>825</v>
      </c>
      <c r="AA4" s="5">
        <v>44622</v>
      </c>
      <c r="AB4" s="6" t="s">
        <v>153</v>
      </c>
      <c r="AC4" s="6" t="s">
        <v>212</v>
      </c>
      <c r="AD4" s="9">
        <f>(334+49.93)*4</f>
        <v>1535.72</v>
      </c>
      <c r="AF4" s="5">
        <v>44600</v>
      </c>
      <c r="AG4" s="6" t="s">
        <v>138</v>
      </c>
      <c r="AH4" s="6" t="s">
        <v>97</v>
      </c>
      <c r="AI4" s="9">
        <v>25</v>
      </c>
    </row>
    <row r="5" spans="1:35" x14ac:dyDescent="0.25">
      <c r="A5" s="5">
        <v>44567</v>
      </c>
      <c r="B5" s="6" t="s">
        <v>9</v>
      </c>
      <c r="C5" s="6" t="s">
        <v>8</v>
      </c>
      <c r="D5" s="9">
        <v>164.42</v>
      </c>
      <c r="F5" s="5">
        <v>44650</v>
      </c>
      <c r="G5" s="6" t="s">
        <v>213</v>
      </c>
      <c r="H5" s="6" t="s">
        <v>214</v>
      </c>
      <c r="I5" s="9">
        <v>14</v>
      </c>
      <c r="J5" s="41"/>
      <c r="K5" s="5">
        <v>44722</v>
      </c>
      <c r="L5" s="6" t="s">
        <v>176</v>
      </c>
      <c r="M5" s="6" t="s">
        <v>207</v>
      </c>
      <c r="N5" s="9">
        <v>35</v>
      </c>
      <c r="O5" s="41"/>
      <c r="Q5" s="5">
        <v>44613</v>
      </c>
      <c r="R5" s="6" t="s">
        <v>215</v>
      </c>
      <c r="S5" s="6" t="s">
        <v>216</v>
      </c>
      <c r="T5" s="9">
        <v>77.900000000000006</v>
      </c>
      <c r="V5" s="24">
        <v>44677</v>
      </c>
      <c r="W5" s="17" t="s">
        <v>211</v>
      </c>
      <c r="X5" s="17" t="s">
        <v>217</v>
      </c>
      <c r="Y5" s="25">
        <v>1675</v>
      </c>
      <c r="AA5" s="24">
        <v>44742</v>
      </c>
      <c r="AB5" s="17" t="s">
        <v>201</v>
      </c>
      <c r="AC5" s="17" t="s">
        <v>218</v>
      </c>
      <c r="AD5" s="25">
        <v>199.01</v>
      </c>
      <c r="AF5" s="24">
        <v>44655</v>
      </c>
      <c r="AG5" s="17" t="s">
        <v>219</v>
      </c>
      <c r="AH5" s="17" t="s">
        <v>220</v>
      </c>
      <c r="AI5" s="39">
        <v>650</v>
      </c>
    </row>
    <row r="6" spans="1:35" x14ac:dyDescent="0.25">
      <c r="A6" s="5">
        <v>44568</v>
      </c>
      <c r="B6" s="6" t="s">
        <v>12</v>
      </c>
      <c r="C6" s="6" t="s">
        <v>13</v>
      </c>
      <c r="D6" s="9">
        <v>32.96</v>
      </c>
      <c r="F6" s="24">
        <v>44699</v>
      </c>
      <c r="G6" s="17" t="s">
        <v>221</v>
      </c>
      <c r="H6" s="17" t="s">
        <v>31</v>
      </c>
      <c r="I6" s="25">
        <v>14</v>
      </c>
      <c r="J6" s="41"/>
      <c r="K6" s="5">
        <v>44622</v>
      </c>
      <c r="L6" s="6" t="s">
        <v>150</v>
      </c>
      <c r="M6" s="6" t="s">
        <v>151</v>
      </c>
      <c r="N6" s="9">
        <v>20</v>
      </c>
      <c r="O6" s="41"/>
      <c r="Q6" s="5">
        <v>44680</v>
      </c>
      <c r="R6" s="6" t="s">
        <v>208</v>
      </c>
      <c r="S6" s="6" t="s">
        <v>222</v>
      </c>
      <c r="T6" s="9">
        <v>157.96</v>
      </c>
      <c r="V6" s="24">
        <v>44712</v>
      </c>
      <c r="W6" s="17" t="s">
        <v>211</v>
      </c>
      <c r="X6" s="17" t="s">
        <v>223</v>
      </c>
      <c r="Y6" s="25">
        <v>112.5</v>
      </c>
      <c r="AA6" s="24">
        <v>44733</v>
      </c>
      <c r="AB6" s="17" t="s">
        <v>204</v>
      </c>
      <c r="AC6" s="17" t="s">
        <v>224</v>
      </c>
      <c r="AD6" s="39">
        <v>344.43</v>
      </c>
      <c r="AF6" s="5">
        <v>44608</v>
      </c>
      <c r="AG6" s="6" t="s">
        <v>143</v>
      </c>
      <c r="AH6" s="6" t="s">
        <v>36</v>
      </c>
      <c r="AI6" s="9">
        <v>975</v>
      </c>
    </row>
    <row r="7" spans="1:35" x14ac:dyDescent="0.25">
      <c r="A7" s="5">
        <v>44569</v>
      </c>
      <c r="B7" s="6" t="s">
        <v>14</v>
      </c>
      <c r="C7" s="6" t="s">
        <v>15</v>
      </c>
      <c r="D7" s="9">
        <v>95.63</v>
      </c>
      <c r="F7" s="24">
        <v>44648</v>
      </c>
      <c r="G7" s="17" t="s">
        <v>221</v>
      </c>
      <c r="H7" s="17" t="s">
        <v>31</v>
      </c>
      <c r="I7" s="25">
        <v>56</v>
      </c>
      <c r="J7" s="41"/>
      <c r="K7" s="5">
        <v>44618</v>
      </c>
      <c r="L7" s="6" t="s">
        <v>139</v>
      </c>
      <c r="M7" s="6" t="s">
        <v>151</v>
      </c>
      <c r="N7" s="9">
        <v>23</v>
      </c>
      <c r="O7" s="41"/>
      <c r="Q7" s="5">
        <v>44663</v>
      </c>
      <c r="R7" s="6" t="s">
        <v>225</v>
      </c>
      <c r="S7" s="6" t="s">
        <v>226</v>
      </c>
      <c r="T7" s="9">
        <v>173</v>
      </c>
      <c r="V7" s="5">
        <v>44742</v>
      </c>
      <c r="W7" s="6" t="s">
        <v>202</v>
      </c>
      <c r="X7" s="6" t="s">
        <v>203</v>
      </c>
      <c r="Y7" s="9">
        <v>112.5</v>
      </c>
      <c r="AA7" s="5">
        <v>44692</v>
      </c>
      <c r="AB7" s="6" t="s">
        <v>227</v>
      </c>
      <c r="AC7" s="6" t="s">
        <v>104</v>
      </c>
      <c r="AD7" s="9">
        <v>615.09</v>
      </c>
      <c r="AF7" s="5">
        <v>44576</v>
      </c>
      <c r="AG7" s="6" t="s">
        <v>35</v>
      </c>
      <c r="AH7" s="6" t="s">
        <v>36</v>
      </c>
      <c r="AI7" s="9">
        <v>275</v>
      </c>
    </row>
    <row r="8" spans="1:35" x14ac:dyDescent="0.25">
      <c r="A8" s="5">
        <v>44571</v>
      </c>
      <c r="B8" s="6" t="s">
        <v>112</v>
      </c>
      <c r="C8" s="6" t="s">
        <v>292</v>
      </c>
      <c r="D8" s="9">
        <v>85</v>
      </c>
      <c r="F8" s="5">
        <v>44659</v>
      </c>
      <c r="G8" s="6" t="s">
        <v>221</v>
      </c>
      <c r="H8" s="6" t="s">
        <v>31</v>
      </c>
      <c r="I8" s="9">
        <v>28</v>
      </c>
      <c r="J8" s="41"/>
      <c r="K8" s="5">
        <v>44574</v>
      </c>
      <c r="L8" s="6" t="s">
        <v>21</v>
      </c>
      <c r="M8" s="6" t="s">
        <v>228</v>
      </c>
      <c r="N8" s="9">
        <v>20.27</v>
      </c>
      <c r="O8" s="41"/>
      <c r="Q8" s="5">
        <v>44663</v>
      </c>
      <c r="R8" s="6" t="s">
        <v>225</v>
      </c>
      <c r="S8" s="6" t="s">
        <v>229</v>
      </c>
      <c r="T8" s="9">
        <v>380.61</v>
      </c>
      <c r="V8" s="5">
        <v>44663</v>
      </c>
      <c r="W8" s="6" t="s">
        <v>230</v>
      </c>
      <c r="X8" s="6" t="s">
        <v>231</v>
      </c>
      <c r="Y8" s="9">
        <v>104.93</v>
      </c>
      <c r="AA8" s="5">
        <v>44727</v>
      </c>
      <c r="AB8" s="6" t="s">
        <v>177</v>
      </c>
      <c r="AC8" s="6" t="s">
        <v>178</v>
      </c>
      <c r="AD8" s="9">
        <v>1204.73</v>
      </c>
      <c r="AF8" s="24">
        <v>44714</v>
      </c>
      <c r="AG8" s="6" t="s">
        <v>232</v>
      </c>
      <c r="AH8" s="6" t="s">
        <v>233</v>
      </c>
      <c r="AI8" s="9">
        <v>815.74</v>
      </c>
    </row>
    <row r="9" spans="1:35" x14ac:dyDescent="0.25">
      <c r="A9" s="5">
        <v>44572</v>
      </c>
      <c r="B9" s="6" t="s">
        <v>18</v>
      </c>
      <c r="C9" s="6" t="s">
        <v>19</v>
      </c>
      <c r="D9" s="9">
        <v>7.78</v>
      </c>
      <c r="F9" s="5">
        <v>44574</v>
      </c>
      <c r="G9" s="6" t="s">
        <v>30</v>
      </c>
      <c r="H9" s="6" t="s">
        <v>31</v>
      </c>
      <c r="I9" s="9">
        <v>36</v>
      </c>
      <c r="J9" s="41"/>
      <c r="K9" s="5">
        <v>44694</v>
      </c>
      <c r="L9" s="6" t="s">
        <v>176</v>
      </c>
      <c r="M9" s="6" t="s">
        <v>228</v>
      </c>
      <c r="N9" s="9">
        <v>23.75</v>
      </c>
      <c r="O9" s="41"/>
      <c r="Q9" s="24">
        <v>44679</v>
      </c>
      <c r="R9" s="17" t="s">
        <v>225</v>
      </c>
      <c r="S9" s="17" t="s">
        <v>234</v>
      </c>
      <c r="T9" s="25">
        <v>247.99</v>
      </c>
      <c r="V9" s="24">
        <v>44627</v>
      </c>
      <c r="W9" s="6" t="s">
        <v>235</v>
      </c>
      <c r="X9" s="6" t="s">
        <v>236</v>
      </c>
      <c r="Y9" s="9">
        <v>600</v>
      </c>
      <c r="AA9" s="5">
        <v>44582</v>
      </c>
      <c r="AB9" s="6" t="s">
        <v>42</v>
      </c>
      <c r="AC9" s="6" t="s">
        <v>43</v>
      </c>
      <c r="AD9" s="9">
        <v>44.22</v>
      </c>
      <c r="AF9" s="24">
        <v>44719</v>
      </c>
      <c r="AG9" s="17" t="s">
        <v>237</v>
      </c>
      <c r="AH9" s="6" t="s">
        <v>238</v>
      </c>
      <c r="AI9" s="9">
        <v>500</v>
      </c>
    </row>
    <row r="10" spans="1:35" x14ac:dyDescent="0.25">
      <c r="A10" s="5">
        <v>44572</v>
      </c>
      <c r="B10" s="6" t="s">
        <v>20</v>
      </c>
      <c r="C10" s="6" t="s">
        <v>6</v>
      </c>
      <c r="D10" s="9">
        <v>2.96</v>
      </c>
      <c r="F10" s="5">
        <v>44582</v>
      </c>
      <c r="G10" s="6" t="s">
        <v>30</v>
      </c>
      <c r="H10" s="6" t="s">
        <v>31</v>
      </c>
      <c r="I10" s="9">
        <v>24</v>
      </c>
      <c r="J10" s="43"/>
      <c r="K10" s="5">
        <v>44692</v>
      </c>
      <c r="L10" s="6" t="s">
        <v>176</v>
      </c>
      <c r="M10" s="6" t="s">
        <v>241</v>
      </c>
      <c r="N10" s="9">
        <v>19.010000000000002</v>
      </c>
      <c r="O10" s="43"/>
      <c r="Q10" s="24">
        <v>44655</v>
      </c>
      <c r="R10" s="17" t="s">
        <v>225</v>
      </c>
      <c r="S10" s="17" t="s">
        <v>242</v>
      </c>
      <c r="T10" s="25">
        <v>280.60000000000002</v>
      </c>
      <c r="V10" s="5">
        <v>44768</v>
      </c>
      <c r="W10" s="6" t="s">
        <v>302</v>
      </c>
      <c r="X10" s="6" t="s">
        <v>303</v>
      </c>
      <c r="Y10" s="9">
        <v>10</v>
      </c>
      <c r="AA10" s="5">
        <v>44614</v>
      </c>
      <c r="AB10" s="6" t="s">
        <v>144</v>
      </c>
      <c r="AC10" s="6" t="s">
        <v>145</v>
      </c>
      <c r="AD10" s="9">
        <v>263.92</v>
      </c>
      <c r="AF10" s="24">
        <v>44722</v>
      </c>
      <c r="AG10" s="6" t="s">
        <v>243</v>
      </c>
      <c r="AH10" s="6" t="s">
        <v>233</v>
      </c>
      <c r="AI10" s="9">
        <v>1500</v>
      </c>
    </row>
    <row r="11" spans="1:35" x14ac:dyDescent="0.25">
      <c r="A11" s="5">
        <v>44573</v>
      </c>
      <c r="B11" s="6" t="s">
        <v>23</v>
      </c>
      <c r="C11" s="6" t="s">
        <v>6</v>
      </c>
      <c r="D11" s="9">
        <v>2.25</v>
      </c>
      <c r="F11" s="5">
        <v>44694</v>
      </c>
      <c r="G11" s="6" t="s">
        <v>30</v>
      </c>
      <c r="H11" s="6" t="s">
        <v>31</v>
      </c>
      <c r="I11" s="9">
        <v>56</v>
      </c>
      <c r="J11" s="44"/>
      <c r="K11" s="5">
        <v>44573</v>
      </c>
      <c r="L11" s="6" t="s">
        <v>21</v>
      </c>
      <c r="M11" s="6" t="s">
        <v>245</v>
      </c>
      <c r="N11" s="9">
        <v>11.98</v>
      </c>
      <c r="O11" s="44"/>
      <c r="Q11" s="5">
        <v>44623</v>
      </c>
      <c r="R11" s="6" t="s">
        <v>208</v>
      </c>
      <c r="S11" s="6" t="s">
        <v>246</v>
      </c>
      <c r="T11" s="9">
        <v>391.96</v>
      </c>
      <c r="V11" s="5">
        <v>44773</v>
      </c>
      <c r="W11" s="6" t="s">
        <v>211</v>
      </c>
      <c r="X11" s="6" t="s">
        <v>223</v>
      </c>
      <c r="Y11" s="9">
        <v>112.5</v>
      </c>
      <c r="AA11" s="24">
        <v>44736</v>
      </c>
      <c r="AB11" s="17" t="s">
        <v>192</v>
      </c>
      <c r="AC11" s="17" t="s">
        <v>193</v>
      </c>
      <c r="AD11" s="25">
        <v>350.57</v>
      </c>
      <c r="AF11" s="5">
        <v>44811</v>
      </c>
      <c r="AG11" s="6" t="s">
        <v>343</v>
      </c>
      <c r="AH11" s="6" t="s">
        <v>342</v>
      </c>
      <c r="AI11" s="9">
        <v>975</v>
      </c>
    </row>
    <row r="12" spans="1:35" x14ac:dyDescent="0.25">
      <c r="A12" s="5">
        <v>44573</v>
      </c>
      <c r="B12" s="6" t="s">
        <v>26</v>
      </c>
      <c r="C12" s="6" t="s">
        <v>27</v>
      </c>
      <c r="D12" s="9">
        <v>50</v>
      </c>
      <c r="F12" s="5">
        <v>44622</v>
      </c>
      <c r="G12" s="6" t="s">
        <v>30</v>
      </c>
      <c r="H12" s="6" t="s">
        <v>155</v>
      </c>
      <c r="I12" s="9">
        <v>70</v>
      </c>
      <c r="J12" s="41"/>
      <c r="K12" s="5">
        <v>44691</v>
      </c>
      <c r="L12" s="6" t="s">
        <v>176</v>
      </c>
      <c r="M12" s="6" t="s">
        <v>247</v>
      </c>
      <c r="N12" s="9">
        <v>20</v>
      </c>
      <c r="O12" s="41"/>
      <c r="Q12" s="5">
        <v>44651</v>
      </c>
      <c r="R12" s="6" t="s">
        <v>208</v>
      </c>
      <c r="S12" s="6" t="s">
        <v>248</v>
      </c>
      <c r="T12" s="9">
        <f>643.95-321.97</f>
        <v>321.98</v>
      </c>
      <c r="V12" s="5">
        <v>44783</v>
      </c>
      <c r="W12" s="6" t="s">
        <v>322</v>
      </c>
      <c r="X12" s="6" t="s">
        <v>323</v>
      </c>
      <c r="Y12" s="9">
        <v>419.45</v>
      </c>
      <c r="AA12" s="5">
        <v>44574</v>
      </c>
      <c r="AB12" s="6" t="s">
        <v>33</v>
      </c>
      <c r="AC12" s="6" t="s">
        <v>104</v>
      </c>
      <c r="AD12" s="9">
        <v>296.58</v>
      </c>
      <c r="AF12" s="5">
        <v>44812</v>
      </c>
      <c r="AG12" s="6" t="s">
        <v>344</v>
      </c>
      <c r="AH12" s="6" t="s">
        <v>84</v>
      </c>
      <c r="AI12" s="9">
        <v>78.38</v>
      </c>
    </row>
    <row r="13" spans="1:35" x14ac:dyDescent="0.25">
      <c r="A13" s="5">
        <v>44573</v>
      </c>
      <c r="B13" s="6" t="s">
        <v>20</v>
      </c>
      <c r="C13" s="6" t="s">
        <v>7</v>
      </c>
      <c r="D13" s="9">
        <v>35.18</v>
      </c>
      <c r="F13" s="5">
        <v>44804</v>
      </c>
      <c r="G13" s="6" t="s">
        <v>30</v>
      </c>
      <c r="H13" s="6" t="s">
        <v>31</v>
      </c>
      <c r="I13" s="9">
        <v>28</v>
      </c>
      <c r="J13" s="41"/>
      <c r="K13" s="5">
        <v>44574</v>
      </c>
      <c r="L13" s="6" t="s">
        <v>24</v>
      </c>
      <c r="M13" s="6" t="s">
        <v>249</v>
      </c>
      <c r="N13" s="9">
        <v>12.31</v>
      </c>
      <c r="O13" s="41"/>
      <c r="Q13" s="5">
        <v>44662</v>
      </c>
      <c r="R13" s="6" t="s">
        <v>208</v>
      </c>
      <c r="S13" s="6" t="s">
        <v>250</v>
      </c>
      <c r="T13" s="9">
        <v>249.96</v>
      </c>
      <c r="V13" s="5">
        <v>44784</v>
      </c>
      <c r="W13" s="6" t="s">
        <v>322</v>
      </c>
      <c r="X13" s="6" t="s">
        <v>324</v>
      </c>
      <c r="Y13" s="9">
        <v>31.16</v>
      </c>
      <c r="AA13" s="5">
        <v>44623</v>
      </c>
      <c r="AB13" s="6" t="s">
        <v>251</v>
      </c>
      <c r="AC13" s="6" t="s">
        <v>252</v>
      </c>
      <c r="AD13" s="9">
        <v>228</v>
      </c>
      <c r="AF13" s="24">
        <v>44825</v>
      </c>
      <c r="AG13" s="17" t="s">
        <v>219</v>
      </c>
      <c r="AH13" s="17" t="s">
        <v>356</v>
      </c>
      <c r="AI13" s="39">
        <v>650</v>
      </c>
    </row>
    <row r="14" spans="1:35" x14ac:dyDescent="0.25">
      <c r="A14" s="5">
        <v>44574</v>
      </c>
      <c r="B14" s="6" t="s">
        <v>32</v>
      </c>
      <c r="C14" s="6" t="s">
        <v>7</v>
      </c>
      <c r="D14" s="9">
        <v>18.07</v>
      </c>
      <c r="F14" s="5">
        <v>44764</v>
      </c>
      <c r="G14" s="6" t="s">
        <v>300</v>
      </c>
      <c r="H14" s="6" t="s">
        <v>301</v>
      </c>
      <c r="I14" s="9">
        <v>10</v>
      </c>
      <c r="J14" s="44"/>
      <c r="K14" s="24">
        <v>44574</v>
      </c>
      <c r="L14" s="17" t="s">
        <v>255</v>
      </c>
      <c r="M14" s="17" t="s">
        <v>256</v>
      </c>
      <c r="N14" s="25">
        <v>11.83</v>
      </c>
      <c r="O14" s="44"/>
      <c r="Q14" s="5">
        <v>44656</v>
      </c>
      <c r="R14" s="6" t="s">
        <v>167</v>
      </c>
      <c r="S14" s="6" t="s">
        <v>257</v>
      </c>
      <c r="T14" s="9">
        <v>288.60000000000002</v>
      </c>
      <c r="V14" s="24">
        <v>44796</v>
      </c>
      <c r="W14" s="17" t="s">
        <v>322</v>
      </c>
      <c r="X14" s="17" t="s">
        <v>323</v>
      </c>
      <c r="Y14" s="42">
        <v>141.38999999999999</v>
      </c>
      <c r="AA14" s="5">
        <v>44659</v>
      </c>
      <c r="AB14" s="6" t="s">
        <v>251</v>
      </c>
      <c r="AC14" s="6" t="s">
        <v>252</v>
      </c>
      <c r="AD14" s="9">
        <f>234.34-228</f>
        <v>6.3400000000000034</v>
      </c>
    </row>
    <row r="15" spans="1:35" x14ac:dyDescent="0.25">
      <c r="A15" s="5">
        <v>44581</v>
      </c>
      <c r="B15" s="6" t="s">
        <v>38</v>
      </c>
      <c r="C15" s="6" t="s">
        <v>27</v>
      </c>
      <c r="D15" s="9">
        <v>60.96</v>
      </c>
      <c r="F15" s="5">
        <v>44818</v>
      </c>
      <c r="G15" s="6" t="s">
        <v>31</v>
      </c>
      <c r="H15" s="6" t="s">
        <v>30</v>
      </c>
      <c r="I15" s="9">
        <v>42</v>
      </c>
      <c r="J15" s="41"/>
      <c r="K15" s="5">
        <v>44727</v>
      </c>
      <c r="L15" s="6" t="s">
        <v>183</v>
      </c>
      <c r="M15" s="6" t="s">
        <v>258</v>
      </c>
      <c r="N15" s="9">
        <v>36</v>
      </c>
      <c r="O15" s="41"/>
      <c r="Q15" s="5">
        <v>44772</v>
      </c>
      <c r="R15" s="6" t="s">
        <v>208</v>
      </c>
      <c r="S15" s="6" t="s">
        <v>309</v>
      </c>
      <c r="T15" s="9">
        <v>249.96</v>
      </c>
      <c r="V15" s="5">
        <v>44810</v>
      </c>
      <c r="W15" s="6" t="s">
        <v>340</v>
      </c>
      <c r="X15" s="6" t="s">
        <v>341</v>
      </c>
      <c r="Y15" s="9">
        <v>112.5</v>
      </c>
      <c r="AA15" s="24">
        <v>44739</v>
      </c>
      <c r="AB15" s="17" t="s">
        <v>192</v>
      </c>
      <c r="AC15" s="17" t="s">
        <v>259</v>
      </c>
      <c r="AD15" s="25">
        <v>414.4</v>
      </c>
    </row>
    <row r="16" spans="1:35" x14ac:dyDescent="0.25">
      <c r="A16" s="5">
        <v>44581</v>
      </c>
      <c r="B16" s="6" t="s">
        <v>37</v>
      </c>
      <c r="C16" s="6" t="s">
        <v>7</v>
      </c>
      <c r="D16" s="9">
        <v>14.51</v>
      </c>
      <c r="F16" s="24">
        <v>44809</v>
      </c>
      <c r="G16" s="17" t="s">
        <v>338</v>
      </c>
      <c r="H16" s="17" t="s">
        <v>339</v>
      </c>
      <c r="I16" s="39">
        <v>70</v>
      </c>
      <c r="J16" s="41"/>
      <c r="K16" s="5">
        <v>44573</v>
      </c>
      <c r="L16" s="6" t="s">
        <v>24</v>
      </c>
      <c r="M16" s="6" t="s">
        <v>256</v>
      </c>
      <c r="N16" s="9">
        <v>9.06</v>
      </c>
      <c r="O16" s="41"/>
      <c r="Q16" s="5">
        <v>44772</v>
      </c>
      <c r="R16" s="6" t="s">
        <v>225</v>
      </c>
      <c r="S16" s="6" t="s">
        <v>310</v>
      </c>
      <c r="T16" s="9">
        <v>890.2</v>
      </c>
      <c r="V16" s="24">
        <v>44834</v>
      </c>
      <c r="W16" s="17" t="s">
        <v>340</v>
      </c>
      <c r="X16" s="17" t="s">
        <v>341</v>
      </c>
      <c r="Y16" s="25">
        <v>112.5</v>
      </c>
      <c r="AA16" s="5">
        <v>44762</v>
      </c>
      <c r="AB16" s="6" t="s">
        <v>297</v>
      </c>
      <c r="AC16" s="6" t="s">
        <v>299</v>
      </c>
      <c r="AD16" s="9">
        <v>344.66</v>
      </c>
    </row>
    <row r="17" spans="1:35" x14ac:dyDescent="0.25">
      <c r="A17" s="5">
        <v>44582</v>
      </c>
      <c r="B17" s="6" t="s">
        <v>39</v>
      </c>
      <c r="C17" s="6" t="s">
        <v>40</v>
      </c>
      <c r="D17" s="9">
        <v>17.61</v>
      </c>
      <c r="F17" s="24">
        <v>44826</v>
      </c>
      <c r="G17" s="17" t="s">
        <v>357</v>
      </c>
      <c r="H17" s="17" t="s">
        <v>358</v>
      </c>
      <c r="I17" s="39">
        <v>25.7</v>
      </c>
      <c r="J17" s="41"/>
      <c r="K17" s="5">
        <v>44691</v>
      </c>
      <c r="L17" s="6" t="s">
        <v>176</v>
      </c>
      <c r="M17" s="6" t="s">
        <v>261</v>
      </c>
      <c r="N17" s="9">
        <v>19.3</v>
      </c>
      <c r="O17" s="41"/>
      <c r="Q17" s="5">
        <v>44772</v>
      </c>
      <c r="R17" s="6" t="s">
        <v>208</v>
      </c>
      <c r="S17" s="6" t="s">
        <v>311</v>
      </c>
      <c r="T17" s="9">
        <v>197.95</v>
      </c>
      <c r="AA17" s="5">
        <v>44770</v>
      </c>
      <c r="AB17" s="6" t="s">
        <v>304</v>
      </c>
      <c r="AC17" s="6" t="s">
        <v>305</v>
      </c>
      <c r="AD17" s="9">
        <v>1373.88</v>
      </c>
    </row>
    <row r="18" spans="1:35" x14ac:dyDescent="0.25">
      <c r="A18" s="5">
        <v>44582</v>
      </c>
      <c r="B18" s="6" t="s">
        <v>41</v>
      </c>
      <c r="C18" s="6" t="s">
        <v>7</v>
      </c>
      <c r="D18" s="9">
        <v>20.56</v>
      </c>
      <c r="J18" s="41"/>
      <c r="K18" s="24">
        <v>44733</v>
      </c>
      <c r="L18" s="17" t="s">
        <v>205</v>
      </c>
      <c r="M18" s="17" t="s">
        <v>206</v>
      </c>
      <c r="N18" s="39">
        <v>27.27</v>
      </c>
      <c r="O18" s="41"/>
      <c r="Q18" s="5">
        <v>44772</v>
      </c>
      <c r="R18" s="6" t="s">
        <v>208</v>
      </c>
      <c r="S18" s="6" t="s">
        <v>312</v>
      </c>
      <c r="T18" s="9">
        <v>254.96</v>
      </c>
      <c r="AA18" s="5">
        <v>44783</v>
      </c>
      <c r="AB18" s="6" t="s">
        <v>320</v>
      </c>
      <c r="AC18" s="6" t="s">
        <v>321</v>
      </c>
      <c r="AD18" s="9">
        <v>227.62</v>
      </c>
    </row>
    <row r="19" spans="1:35" x14ac:dyDescent="0.25">
      <c r="A19" s="24">
        <v>44587</v>
      </c>
      <c r="B19" s="17" t="s">
        <v>244</v>
      </c>
      <c r="C19" s="17" t="s">
        <v>6</v>
      </c>
      <c r="D19" s="25">
        <v>4.2699999999999996</v>
      </c>
      <c r="J19" s="41"/>
      <c r="K19" s="24">
        <v>44733</v>
      </c>
      <c r="L19" s="17" t="s">
        <v>197</v>
      </c>
      <c r="M19" s="17" t="s">
        <v>198</v>
      </c>
      <c r="N19" s="39">
        <v>235.55</v>
      </c>
      <c r="O19" s="41"/>
      <c r="AA19" s="5">
        <v>44804</v>
      </c>
      <c r="AB19" s="6" t="s">
        <v>192</v>
      </c>
      <c r="AC19" s="6" t="s">
        <v>334</v>
      </c>
      <c r="AD19" s="9">
        <f>105.26-70</f>
        <v>35.260000000000005</v>
      </c>
    </row>
    <row r="20" spans="1:35" x14ac:dyDescent="0.25">
      <c r="A20" s="5">
        <v>44593</v>
      </c>
      <c r="B20" s="6" t="s">
        <v>136</v>
      </c>
      <c r="C20" s="6" t="s">
        <v>7</v>
      </c>
      <c r="D20" s="9">
        <v>11.71</v>
      </c>
      <c r="F20" s="17"/>
      <c r="G20" s="17"/>
      <c r="H20" s="6" t="s">
        <v>31</v>
      </c>
      <c r="I20" s="45">
        <f>SUM(I4:I19)</f>
        <v>501.7</v>
      </c>
      <c r="J20" s="41"/>
      <c r="K20" s="46">
        <v>44804</v>
      </c>
      <c r="L20" s="9" t="s">
        <v>192</v>
      </c>
      <c r="M20" s="6" t="s">
        <v>336</v>
      </c>
      <c r="N20" s="47">
        <v>70</v>
      </c>
      <c r="O20" s="41"/>
      <c r="AA20" s="24">
        <v>44792</v>
      </c>
      <c r="AB20" s="17" t="s">
        <v>330</v>
      </c>
      <c r="AC20" s="17" t="s">
        <v>331</v>
      </c>
      <c r="AD20" s="39">
        <v>133.37</v>
      </c>
    </row>
    <row r="21" spans="1:35" x14ac:dyDescent="0.25">
      <c r="A21" s="5">
        <v>44594</v>
      </c>
      <c r="B21" s="6" t="s">
        <v>154</v>
      </c>
      <c r="C21" s="6" t="s">
        <v>7</v>
      </c>
      <c r="D21" s="9">
        <v>18.53</v>
      </c>
      <c r="J21" s="41"/>
      <c r="K21" s="4">
        <v>44817</v>
      </c>
      <c r="L21" s="22" t="s">
        <v>350</v>
      </c>
      <c r="M21" s="22" t="s">
        <v>351</v>
      </c>
      <c r="N21" s="8">
        <v>317.92</v>
      </c>
      <c r="O21" s="41"/>
      <c r="AA21" s="5">
        <v>44811</v>
      </c>
      <c r="AB21" s="6" t="s">
        <v>192</v>
      </c>
      <c r="AC21" s="6" t="s">
        <v>145</v>
      </c>
      <c r="AD21" s="9">
        <v>271.14999999999998</v>
      </c>
    </row>
    <row r="22" spans="1:35" x14ac:dyDescent="0.25">
      <c r="A22" s="5">
        <v>44596</v>
      </c>
      <c r="B22" s="6" t="s">
        <v>137</v>
      </c>
      <c r="C22" s="6" t="s">
        <v>27</v>
      </c>
      <c r="D22" s="9">
        <v>16.87</v>
      </c>
      <c r="J22" s="41"/>
      <c r="K22" s="5">
        <v>44817</v>
      </c>
      <c r="L22" s="6" t="s">
        <v>176</v>
      </c>
      <c r="M22" s="6" t="s">
        <v>347</v>
      </c>
      <c r="N22" s="9">
        <v>84</v>
      </c>
      <c r="O22" s="41"/>
      <c r="AA22" s="5">
        <v>44817</v>
      </c>
      <c r="AB22" s="6" t="s">
        <v>345</v>
      </c>
      <c r="AC22" s="6" t="s">
        <v>346</v>
      </c>
      <c r="AD22" s="9">
        <v>148.63</v>
      </c>
    </row>
    <row r="23" spans="1:35" x14ac:dyDescent="0.25">
      <c r="A23" s="5">
        <v>44607</v>
      </c>
      <c r="B23" s="6" t="s">
        <v>141</v>
      </c>
      <c r="C23" s="6" t="s">
        <v>265</v>
      </c>
      <c r="D23" s="9">
        <v>138.86000000000001</v>
      </c>
      <c r="J23" s="41"/>
      <c r="K23" s="5">
        <v>44818</v>
      </c>
      <c r="L23" s="6" t="s">
        <v>350</v>
      </c>
      <c r="M23" s="6" t="s">
        <v>352</v>
      </c>
      <c r="N23" s="9">
        <v>158.99</v>
      </c>
      <c r="O23" s="41"/>
      <c r="AA23" s="5">
        <v>44818</v>
      </c>
      <c r="AB23" s="6" t="s">
        <v>354</v>
      </c>
      <c r="AC23" s="6" t="s">
        <v>355</v>
      </c>
      <c r="AD23" s="9">
        <v>193.32</v>
      </c>
    </row>
    <row r="24" spans="1:35" x14ac:dyDescent="0.25">
      <c r="A24" s="5">
        <v>44615</v>
      </c>
      <c r="B24" s="6" t="s">
        <v>293</v>
      </c>
      <c r="C24" s="6" t="s">
        <v>294</v>
      </c>
      <c r="D24" s="9">
        <v>134.38</v>
      </c>
      <c r="J24" s="41"/>
      <c r="K24" s="5">
        <v>44818</v>
      </c>
      <c r="L24" s="6" t="s">
        <v>353</v>
      </c>
      <c r="M24" s="6" t="s">
        <v>352</v>
      </c>
      <c r="N24" s="9">
        <v>10.09</v>
      </c>
      <c r="O24" s="41"/>
      <c r="AA24" s="24">
        <v>44781</v>
      </c>
      <c r="AB24" s="6" t="s">
        <v>530</v>
      </c>
      <c r="AC24" s="6" t="s">
        <v>531</v>
      </c>
      <c r="AD24" s="9">
        <v>355</v>
      </c>
    </row>
    <row r="25" spans="1:35" x14ac:dyDescent="0.25">
      <c r="A25" s="5">
        <v>44616</v>
      </c>
      <c r="B25" s="6" t="s">
        <v>146</v>
      </c>
      <c r="C25" s="6" t="s">
        <v>7</v>
      </c>
      <c r="D25" s="9">
        <v>18.75</v>
      </c>
      <c r="J25" s="41"/>
      <c r="K25" s="41"/>
      <c r="L25" s="41"/>
      <c r="M25" s="41"/>
      <c r="N25" s="41"/>
      <c r="O25" s="41"/>
    </row>
    <row r="26" spans="1:35" x14ac:dyDescent="0.25">
      <c r="A26" s="5">
        <v>44618</v>
      </c>
      <c r="B26" s="6" t="s">
        <v>148</v>
      </c>
      <c r="C26" s="21" t="s">
        <v>27</v>
      </c>
      <c r="D26" s="9">
        <v>21</v>
      </c>
      <c r="J26" s="43"/>
      <c r="K26" s="43"/>
      <c r="L26" s="43"/>
      <c r="M26" s="9" t="s">
        <v>262</v>
      </c>
      <c r="N26" s="9">
        <f>SUM(N4:N25)</f>
        <v>1189.25</v>
      </c>
      <c r="O26" s="43"/>
      <c r="S26" s="6" t="s">
        <v>114</v>
      </c>
      <c r="T26" s="39">
        <f>SUM(T4:T25)</f>
        <v>4544.6099999999997</v>
      </c>
      <c r="X26" s="6" t="s">
        <v>96</v>
      </c>
      <c r="Y26" s="39">
        <f>SUM(Y4:Y25)</f>
        <v>4369.4299999999994</v>
      </c>
      <c r="AC26" s="6" t="s">
        <v>104</v>
      </c>
      <c r="AD26" s="39">
        <f>SUM(AD4:AD25)</f>
        <v>8585.9</v>
      </c>
      <c r="AH26" s="6" t="s">
        <v>36</v>
      </c>
      <c r="AI26" s="39">
        <f>SUM(AI4:AI25)</f>
        <v>6444.12</v>
      </c>
    </row>
    <row r="27" spans="1:35" x14ac:dyDescent="0.25">
      <c r="A27" s="5">
        <v>44619</v>
      </c>
      <c r="B27" s="6" t="s">
        <v>147</v>
      </c>
      <c r="C27" s="6" t="s">
        <v>40</v>
      </c>
      <c r="D27" s="9">
        <v>24</v>
      </c>
      <c r="E27" s="8"/>
      <c r="J27" s="41"/>
      <c r="K27" s="41"/>
      <c r="L27" s="41"/>
      <c r="M27" s="41"/>
      <c r="N27" s="41"/>
      <c r="O27" s="41"/>
    </row>
    <row r="28" spans="1:35" x14ac:dyDescent="0.25">
      <c r="A28" s="5">
        <v>44620</v>
      </c>
      <c r="B28" s="6" t="s">
        <v>149</v>
      </c>
      <c r="C28" s="6" t="s">
        <v>27</v>
      </c>
      <c r="D28" s="9">
        <v>43</v>
      </c>
      <c r="J28" s="41"/>
      <c r="K28" s="41"/>
      <c r="L28" s="41"/>
      <c r="M28" s="41"/>
      <c r="N28" s="41"/>
      <c r="O28" s="41"/>
    </row>
    <row r="29" spans="1:35" x14ac:dyDescent="0.25">
      <c r="A29" s="5">
        <v>44621</v>
      </c>
      <c r="B29" s="6" t="s">
        <v>148</v>
      </c>
      <c r="C29" s="6" t="s">
        <v>27</v>
      </c>
      <c r="D29" s="9">
        <v>12</v>
      </c>
      <c r="F29" s="15" t="s">
        <v>260</v>
      </c>
      <c r="G29" s="8">
        <f>D84</f>
        <v>4022.21</v>
      </c>
      <c r="J29" s="41"/>
      <c r="K29" s="41"/>
      <c r="L29" s="41"/>
      <c r="M29" s="41"/>
      <c r="N29" s="41"/>
      <c r="O29" s="41"/>
    </row>
    <row r="30" spans="1:35" x14ac:dyDescent="0.25">
      <c r="A30" s="5">
        <v>44635</v>
      </c>
      <c r="B30" s="6" t="s">
        <v>289</v>
      </c>
      <c r="C30" s="6" t="s">
        <v>290</v>
      </c>
      <c r="D30" s="9">
        <v>162.13999999999999</v>
      </c>
      <c r="F30" s="15" t="s">
        <v>31</v>
      </c>
      <c r="G30" s="8">
        <f>I20</f>
        <v>501.7</v>
      </c>
      <c r="J30" s="41"/>
      <c r="K30" s="41"/>
      <c r="L30" s="41"/>
      <c r="M30" s="41"/>
      <c r="N30" s="41"/>
      <c r="O30" s="41"/>
    </row>
    <row r="31" spans="1:35" x14ac:dyDescent="0.25">
      <c r="A31" s="5">
        <v>44649</v>
      </c>
      <c r="B31" s="6" t="s">
        <v>286</v>
      </c>
      <c r="C31" s="6" t="s">
        <v>287</v>
      </c>
      <c r="D31" s="9">
        <v>26.82</v>
      </c>
      <c r="F31" s="15" t="s">
        <v>262</v>
      </c>
      <c r="G31" s="8">
        <f>N26</f>
        <v>1189.25</v>
      </c>
      <c r="J31" s="41"/>
      <c r="K31" s="41"/>
      <c r="L31" s="41"/>
      <c r="M31" s="41"/>
      <c r="N31" s="41"/>
      <c r="O31" s="41"/>
    </row>
    <row r="32" spans="1:35" x14ac:dyDescent="0.25">
      <c r="A32" s="5">
        <v>44658</v>
      </c>
      <c r="B32" s="6" t="s">
        <v>263</v>
      </c>
      <c r="C32" s="6" t="s">
        <v>264</v>
      </c>
      <c r="D32" s="9">
        <v>54.75</v>
      </c>
      <c r="F32" s="15" t="s">
        <v>114</v>
      </c>
      <c r="G32" s="8">
        <f>T26</f>
        <v>4544.6099999999997</v>
      </c>
      <c r="J32" s="41"/>
      <c r="K32" s="41"/>
      <c r="L32" s="41"/>
      <c r="M32" s="41"/>
      <c r="N32" s="41"/>
      <c r="O32" s="41"/>
    </row>
    <row r="33" spans="1:15" x14ac:dyDescent="0.25">
      <c r="A33" s="24">
        <v>44658</v>
      </c>
      <c r="B33" s="17" t="s">
        <v>270</v>
      </c>
      <c r="C33" s="17" t="s">
        <v>271</v>
      </c>
      <c r="D33" s="39">
        <v>12.7</v>
      </c>
      <c r="F33" s="15" t="s">
        <v>104</v>
      </c>
      <c r="G33" s="8">
        <f>AD26</f>
        <v>8585.9</v>
      </c>
      <c r="J33" s="41"/>
      <c r="K33" s="41"/>
      <c r="L33" s="41"/>
      <c r="M33" s="41"/>
      <c r="N33" s="41"/>
      <c r="O33" s="41"/>
    </row>
    <row r="34" spans="1:15" x14ac:dyDescent="0.25">
      <c r="A34" s="5">
        <v>44659</v>
      </c>
      <c r="B34" s="6" t="s">
        <v>272</v>
      </c>
      <c r="C34" s="6" t="s">
        <v>271</v>
      </c>
      <c r="D34" s="9">
        <v>47</v>
      </c>
      <c r="F34" s="15" t="s">
        <v>36</v>
      </c>
      <c r="G34" s="8">
        <f>AI26</f>
        <v>6444.12</v>
      </c>
      <c r="J34" s="41"/>
      <c r="K34" s="41"/>
      <c r="L34" s="41"/>
      <c r="M34" s="41"/>
      <c r="N34" s="41"/>
      <c r="O34" s="41"/>
    </row>
    <row r="35" spans="1:15" x14ac:dyDescent="0.25">
      <c r="A35" s="5">
        <v>44664</v>
      </c>
      <c r="B35" s="6" t="s">
        <v>284</v>
      </c>
      <c r="C35" s="6" t="s">
        <v>285</v>
      </c>
      <c r="D35" s="9">
        <v>32</v>
      </c>
      <c r="F35" s="15" t="s">
        <v>96</v>
      </c>
      <c r="G35" s="8">
        <f>Y26</f>
        <v>4369.4299999999994</v>
      </c>
      <c r="J35" s="41"/>
      <c r="K35" s="41"/>
      <c r="L35" s="41"/>
      <c r="M35" s="41"/>
      <c r="N35" s="41"/>
      <c r="O35" s="41"/>
    </row>
    <row r="36" spans="1:15" x14ac:dyDescent="0.25">
      <c r="A36" s="24">
        <v>44669</v>
      </c>
      <c r="B36" s="17" t="s">
        <v>136</v>
      </c>
      <c r="C36" s="17" t="s">
        <v>195</v>
      </c>
      <c r="D36" s="39">
        <v>152.04</v>
      </c>
      <c r="F36" s="15" t="s">
        <v>2</v>
      </c>
      <c r="G36" s="8">
        <f>SUM(G29:G35)</f>
        <v>29657.219999999998</v>
      </c>
      <c r="J36" s="41"/>
      <c r="K36" s="41"/>
      <c r="L36" s="41"/>
      <c r="M36" s="41"/>
      <c r="N36" s="41"/>
      <c r="O36" s="41"/>
    </row>
    <row r="37" spans="1:15" x14ac:dyDescent="0.25">
      <c r="A37" s="24">
        <v>44672</v>
      </c>
      <c r="B37" s="17" t="s">
        <v>274</v>
      </c>
      <c r="C37" s="17" t="s">
        <v>275</v>
      </c>
      <c r="D37" s="25">
        <v>52.7</v>
      </c>
      <c r="J37" s="41"/>
      <c r="K37" s="41"/>
      <c r="L37" s="41"/>
      <c r="M37" s="41"/>
      <c r="N37" s="41"/>
      <c r="O37" s="41"/>
    </row>
    <row r="38" spans="1:15" x14ac:dyDescent="0.25">
      <c r="A38" s="24">
        <v>44673</v>
      </c>
      <c r="B38" s="17" t="s">
        <v>282</v>
      </c>
      <c r="C38" s="17" t="s">
        <v>283</v>
      </c>
      <c r="D38" s="25">
        <v>41.91</v>
      </c>
      <c r="F38" s="15" t="s">
        <v>337</v>
      </c>
      <c r="G38" s="8">
        <f>SUM(G29:G34)</f>
        <v>25287.789999999997</v>
      </c>
      <c r="J38" s="41"/>
      <c r="K38" s="41"/>
      <c r="L38" s="41"/>
      <c r="M38" s="41"/>
      <c r="N38" s="41"/>
      <c r="O38" s="41"/>
    </row>
    <row r="39" spans="1:15" x14ac:dyDescent="0.25">
      <c r="A39" s="24">
        <v>44676</v>
      </c>
      <c r="B39" s="17" t="s">
        <v>280</v>
      </c>
      <c r="C39" s="17" t="s">
        <v>281</v>
      </c>
      <c r="D39" s="25">
        <v>45</v>
      </c>
      <c r="J39" s="41"/>
      <c r="K39" s="41"/>
      <c r="L39" s="41"/>
      <c r="M39" s="41"/>
      <c r="N39" s="41"/>
      <c r="O39" s="41"/>
    </row>
    <row r="40" spans="1:15" x14ac:dyDescent="0.25">
      <c r="A40" s="24">
        <v>44677</v>
      </c>
      <c r="B40" s="17" t="s">
        <v>276</v>
      </c>
      <c r="C40" s="17" t="s">
        <v>277</v>
      </c>
      <c r="D40" s="25">
        <v>21.48</v>
      </c>
      <c r="J40" s="41"/>
      <c r="K40" s="41"/>
      <c r="L40" s="41"/>
      <c r="M40" s="41"/>
      <c r="N40" s="41"/>
      <c r="O40" s="41"/>
    </row>
    <row r="41" spans="1:15" x14ac:dyDescent="0.25">
      <c r="A41" s="24">
        <v>44686</v>
      </c>
      <c r="B41" s="17" t="s">
        <v>239</v>
      </c>
      <c r="C41" s="17" t="s">
        <v>240</v>
      </c>
      <c r="D41" s="39">
        <v>50.15</v>
      </c>
      <c r="J41" s="44"/>
      <c r="K41" s="44"/>
      <c r="L41" s="44"/>
      <c r="M41" s="44"/>
      <c r="N41" s="44"/>
      <c r="O41" s="44"/>
    </row>
    <row r="42" spans="1:15" x14ac:dyDescent="0.25">
      <c r="A42" s="5">
        <v>44687</v>
      </c>
      <c r="B42" s="6" t="s">
        <v>278</v>
      </c>
      <c r="C42" s="6" t="s">
        <v>279</v>
      </c>
      <c r="D42" s="9">
        <v>42</v>
      </c>
      <c r="J42" s="43"/>
      <c r="K42" s="43"/>
      <c r="L42" s="43"/>
      <c r="M42" s="43"/>
      <c r="N42" s="43"/>
      <c r="O42" s="43"/>
    </row>
    <row r="43" spans="1:15" x14ac:dyDescent="0.25">
      <c r="A43" s="5">
        <v>44691</v>
      </c>
      <c r="B43" s="6" t="s">
        <v>288</v>
      </c>
      <c r="C43" s="6" t="s">
        <v>187</v>
      </c>
      <c r="D43" s="9">
        <v>10.95</v>
      </c>
      <c r="J43" s="41"/>
      <c r="K43" s="41"/>
      <c r="L43" s="41"/>
      <c r="M43" s="41"/>
      <c r="N43" s="41"/>
      <c r="O43" s="41"/>
    </row>
    <row r="44" spans="1:15" x14ac:dyDescent="0.25">
      <c r="A44" s="5">
        <v>44692</v>
      </c>
      <c r="B44" s="6" t="s">
        <v>266</v>
      </c>
      <c r="C44" s="6" t="s">
        <v>267</v>
      </c>
      <c r="D44" s="9">
        <v>5.25</v>
      </c>
      <c r="J44" s="44"/>
      <c r="K44" s="44"/>
      <c r="L44" s="44"/>
      <c r="M44" s="44"/>
      <c r="N44" s="44"/>
      <c r="O44" s="44"/>
    </row>
    <row r="45" spans="1:15" x14ac:dyDescent="0.25">
      <c r="A45" s="5">
        <v>44693</v>
      </c>
      <c r="B45" s="6" t="s">
        <v>291</v>
      </c>
      <c r="C45" s="6" t="s">
        <v>7</v>
      </c>
      <c r="D45" s="9">
        <v>25</v>
      </c>
      <c r="J45" s="43"/>
      <c r="K45" s="43"/>
      <c r="L45" s="43"/>
      <c r="M45" s="43"/>
      <c r="N45" s="43"/>
      <c r="O45" s="43"/>
    </row>
    <row r="46" spans="1:15" x14ac:dyDescent="0.25">
      <c r="A46" s="24">
        <v>44697</v>
      </c>
      <c r="B46" s="17" t="s">
        <v>273</v>
      </c>
      <c r="C46" s="17" t="s">
        <v>195</v>
      </c>
      <c r="D46" s="39">
        <v>223.63</v>
      </c>
      <c r="J46" s="43"/>
      <c r="K46" s="43"/>
      <c r="L46" s="43"/>
      <c r="M46" s="43"/>
      <c r="N46" s="43"/>
      <c r="O46" s="43"/>
    </row>
    <row r="47" spans="1:15" x14ac:dyDescent="0.25">
      <c r="A47" s="24">
        <v>44699</v>
      </c>
      <c r="B47" s="17" t="s">
        <v>253</v>
      </c>
      <c r="C47" s="17" t="s">
        <v>254</v>
      </c>
      <c r="D47" s="25">
        <v>4.01</v>
      </c>
      <c r="J47" s="44"/>
      <c r="K47" s="44"/>
      <c r="L47" s="44"/>
      <c r="M47" s="44"/>
      <c r="N47" s="44"/>
      <c r="O47" s="44"/>
    </row>
    <row r="48" spans="1:15" x14ac:dyDescent="0.25">
      <c r="A48" s="24">
        <v>44699</v>
      </c>
      <c r="B48" s="17" t="s">
        <v>268</v>
      </c>
      <c r="C48" s="17" t="s">
        <v>269</v>
      </c>
      <c r="D48" s="25">
        <v>17.43</v>
      </c>
      <c r="J48" s="44"/>
      <c r="K48" s="44"/>
      <c r="L48" s="44"/>
      <c r="M48" s="44"/>
      <c r="N48" s="44"/>
      <c r="O48" s="44"/>
    </row>
    <row r="49" spans="1:15" x14ac:dyDescent="0.25">
      <c r="A49" s="5">
        <v>44722</v>
      </c>
      <c r="B49" s="6" t="s">
        <v>27</v>
      </c>
      <c r="C49" s="6" t="s">
        <v>189</v>
      </c>
      <c r="D49" s="9">
        <v>13.1</v>
      </c>
      <c r="J49" s="41"/>
      <c r="K49" s="41"/>
      <c r="L49" s="41"/>
      <c r="M49" s="41"/>
      <c r="N49" s="41"/>
      <c r="O49" s="41"/>
    </row>
    <row r="50" spans="1:15" x14ac:dyDescent="0.25">
      <c r="A50" s="24">
        <v>44722</v>
      </c>
      <c r="B50" s="17" t="s">
        <v>191</v>
      </c>
      <c r="C50" s="17" t="s">
        <v>7</v>
      </c>
      <c r="D50" s="39">
        <v>16</v>
      </c>
      <c r="J50" s="44"/>
      <c r="K50" s="44"/>
      <c r="L50" s="44"/>
      <c r="M50" s="44"/>
      <c r="N50" s="44"/>
      <c r="O50" s="44"/>
    </row>
    <row r="51" spans="1:15" x14ac:dyDescent="0.25">
      <c r="A51" s="5">
        <v>44722</v>
      </c>
      <c r="B51" s="6" t="s">
        <v>187</v>
      </c>
      <c r="C51" s="6" t="s">
        <v>188</v>
      </c>
      <c r="D51" s="9">
        <v>8.74</v>
      </c>
      <c r="J51" s="44"/>
      <c r="K51" s="44"/>
      <c r="L51" s="44"/>
      <c r="M51" s="44"/>
      <c r="N51" s="44"/>
      <c r="O51" s="44"/>
    </row>
    <row r="52" spans="1:15" x14ac:dyDescent="0.25">
      <c r="A52" s="5">
        <v>44723</v>
      </c>
      <c r="B52" s="6" t="s">
        <v>185</v>
      </c>
      <c r="C52" s="6" t="s">
        <v>40</v>
      </c>
      <c r="D52" s="9">
        <v>6.56</v>
      </c>
      <c r="J52" s="41"/>
      <c r="K52" s="41"/>
      <c r="L52" s="41"/>
      <c r="M52" s="41"/>
      <c r="N52" s="41"/>
      <c r="O52" s="41"/>
    </row>
    <row r="53" spans="1:15" x14ac:dyDescent="0.25">
      <c r="A53" s="5">
        <v>44723</v>
      </c>
      <c r="B53" s="6" t="s">
        <v>190</v>
      </c>
      <c r="C53" s="6" t="s">
        <v>27</v>
      </c>
      <c r="D53" s="9">
        <v>26</v>
      </c>
      <c r="J53" s="41"/>
      <c r="K53" s="41"/>
      <c r="L53" s="41"/>
      <c r="M53" s="41"/>
      <c r="N53" s="41"/>
      <c r="O53" s="41"/>
    </row>
    <row r="54" spans="1:15" x14ac:dyDescent="0.25">
      <c r="A54" s="5">
        <v>44724</v>
      </c>
      <c r="B54" s="6" t="s">
        <v>186</v>
      </c>
      <c r="C54" s="6" t="s">
        <v>40</v>
      </c>
      <c r="D54" s="9">
        <v>14.83</v>
      </c>
      <c r="J54" s="41"/>
      <c r="K54" s="41"/>
      <c r="L54" s="41"/>
      <c r="M54" s="41"/>
      <c r="N54" s="41"/>
      <c r="O54" s="41"/>
    </row>
    <row r="55" spans="1:15" x14ac:dyDescent="0.25">
      <c r="A55" s="5">
        <v>44725</v>
      </c>
      <c r="B55" s="6" t="s">
        <v>184</v>
      </c>
      <c r="C55" s="6" t="s">
        <v>27</v>
      </c>
      <c r="D55" s="9">
        <v>17.8</v>
      </c>
      <c r="J55" s="41"/>
      <c r="K55" s="41"/>
      <c r="L55" s="41"/>
      <c r="M55" s="41"/>
      <c r="N55" s="41"/>
      <c r="O55" s="41"/>
    </row>
    <row r="56" spans="1:15" x14ac:dyDescent="0.25">
      <c r="A56" s="5">
        <v>44725</v>
      </c>
      <c r="B56" s="6" t="s">
        <v>185</v>
      </c>
      <c r="C56" s="6" t="s">
        <v>180</v>
      </c>
      <c r="D56" s="9">
        <v>8.1999999999999993</v>
      </c>
      <c r="J56" s="41"/>
      <c r="K56" s="41"/>
      <c r="L56" s="41"/>
      <c r="M56" s="41"/>
      <c r="N56" s="41"/>
      <c r="O56" s="41"/>
    </row>
    <row r="57" spans="1:15" x14ac:dyDescent="0.25">
      <c r="A57" s="5">
        <v>44727</v>
      </c>
      <c r="B57" s="6" t="s">
        <v>179</v>
      </c>
      <c r="C57" s="6" t="s">
        <v>180</v>
      </c>
      <c r="D57" s="9">
        <v>17</v>
      </c>
      <c r="J57" s="41"/>
      <c r="K57" s="41"/>
      <c r="L57" s="41"/>
      <c r="M57" s="41"/>
      <c r="N57" s="41"/>
      <c r="O57" s="41"/>
    </row>
    <row r="58" spans="1:15" x14ac:dyDescent="0.25">
      <c r="A58" s="5">
        <v>44727</v>
      </c>
      <c r="B58" s="6" t="s">
        <v>181</v>
      </c>
      <c r="C58" s="6" t="s">
        <v>182</v>
      </c>
      <c r="D58" s="9">
        <v>14.63</v>
      </c>
      <c r="J58" s="41"/>
      <c r="K58" s="41"/>
      <c r="L58" s="41"/>
      <c r="M58" s="41"/>
      <c r="N58" s="41"/>
      <c r="O58" s="41"/>
    </row>
    <row r="59" spans="1:15" x14ac:dyDescent="0.25">
      <c r="A59" s="24">
        <v>44733</v>
      </c>
      <c r="B59" s="6" t="s">
        <v>199</v>
      </c>
      <c r="C59" s="6" t="s">
        <v>200</v>
      </c>
      <c r="D59" s="9">
        <v>28</v>
      </c>
      <c r="J59" s="41"/>
      <c r="K59" s="41"/>
      <c r="L59" s="41"/>
      <c r="M59" s="41"/>
      <c r="N59" s="41"/>
      <c r="O59" s="41"/>
    </row>
    <row r="60" spans="1:15" x14ac:dyDescent="0.25">
      <c r="A60" s="5">
        <v>44733</v>
      </c>
      <c r="B60" s="6" t="s">
        <v>313</v>
      </c>
      <c r="C60" s="6" t="s">
        <v>200</v>
      </c>
      <c r="D60" s="9">
        <v>14.5</v>
      </c>
      <c r="J60" s="41"/>
      <c r="K60" s="41"/>
      <c r="L60" s="41"/>
      <c r="M60" s="41"/>
      <c r="N60" s="41"/>
      <c r="O60" s="41"/>
    </row>
    <row r="61" spans="1:15" x14ac:dyDescent="0.25">
      <c r="A61" s="24">
        <v>44735</v>
      </c>
      <c r="B61" s="17" t="s">
        <v>194</v>
      </c>
      <c r="C61" s="17" t="s">
        <v>195</v>
      </c>
      <c r="D61" s="25">
        <v>161</v>
      </c>
    </row>
    <row r="62" spans="1:15" x14ac:dyDescent="0.25">
      <c r="A62" s="24">
        <v>44747</v>
      </c>
      <c r="B62" s="17" t="s">
        <v>295</v>
      </c>
      <c r="C62" s="17" t="s">
        <v>296</v>
      </c>
      <c r="D62" s="39">
        <v>14.05</v>
      </c>
    </row>
    <row r="63" spans="1:15" x14ac:dyDescent="0.25">
      <c r="A63" s="5">
        <v>44761</v>
      </c>
      <c r="B63" s="6" t="s">
        <v>297</v>
      </c>
      <c r="C63" s="6" t="s">
        <v>298</v>
      </c>
      <c r="D63" s="9">
        <v>12</v>
      </c>
    </row>
    <row r="64" spans="1:15" x14ac:dyDescent="0.25">
      <c r="A64" s="24">
        <v>44774</v>
      </c>
      <c r="B64" s="17" t="s">
        <v>314</v>
      </c>
      <c r="C64" s="17" t="s">
        <v>315</v>
      </c>
      <c r="D64" s="39">
        <v>48</v>
      </c>
    </row>
    <row r="65" spans="1:4" x14ac:dyDescent="0.25">
      <c r="A65" s="5">
        <v>44776</v>
      </c>
      <c r="B65" s="6" t="s">
        <v>316</v>
      </c>
      <c r="C65" s="6" t="s">
        <v>317</v>
      </c>
      <c r="D65" s="9">
        <v>4.34</v>
      </c>
    </row>
    <row r="66" spans="1:4" x14ac:dyDescent="0.25">
      <c r="A66" s="5">
        <v>44777</v>
      </c>
      <c r="B66" s="6" t="s">
        <v>318</v>
      </c>
      <c r="C66" s="6" t="s">
        <v>319</v>
      </c>
      <c r="D66" s="9">
        <v>31.38</v>
      </c>
    </row>
    <row r="67" spans="1:4" x14ac:dyDescent="0.25">
      <c r="A67" s="5">
        <v>44784</v>
      </c>
      <c r="B67" s="6" t="s">
        <v>239</v>
      </c>
      <c r="C67" s="6" t="s">
        <v>325</v>
      </c>
      <c r="D67" s="9">
        <v>47.58</v>
      </c>
    </row>
    <row r="68" spans="1:4" x14ac:dyDescent="0.25">
      <c r="A68" s="5">
        <v>44784</v>
      </c>
      <c r="B68" s="6" t="s">
        <v>326</v>
      </c>
      <c r="C68" s="6" t="s">
        <v>327</v>
      </c>
      <c r="D68" s="9">
        <v>38</v>
      </c>
    </row>
    <row r="69" spans="1:4" x14ac:dyDescent="0.25">
      <c r="A69" s="24">
        <v>44789</v>
      </c>
      <c r="B69" s="17" t="s">
        <v>141</v>
      </c>
      <c r="C69" s="17" t="s">
        <v>290</v>
      </c>
      <c r="D69" s="25">
        <v>264.88</v>
      </c>
    </row>
    <row r="70" spans="1:4" x14ac:dyDescent="0.25">
      <c r="A70" s="24">
        <v>44791</v>
      </c>
      <c r="B70" s="17" t="s">
        <v>328</v>
      </c>
      <c r="C70" s="17" t="s">
        <v>329</v>
      </c>
      <c r="D70" s="25">
        <v>49</v>
      </c>
    </row>
    <row r="71" spans="1:4" x14ac:dyDescent="0.25">
      <c r="A71" s="24">
        <v>44792</v>
      </c>
      <c r="B71" s="17" t="s">
        <v>332</v>
      </c>
      <c r="C71" s="17" t="s">
        <v>40</v>
      </c>
      <c r="D71" s="39">
        <v>22</v>
      </c>
    </row>
    <row r="72" spans="1:4" x14ac:dyDescent="0.25">
      <c r="A72" s="5">
        <v>44803</v>
      </c>
      <c r="B72" s="6" t="s">
        <v>333</v>
      </c>
      <c r="C72" s="6" t="s">
        <v>7</v>
      </c>
      <c r="D72" s="9">
        <v>23.39</v>
      </c>
    </row>
    <row r="73" spans="1:4" x14ac:dyDescent="0.25">
      <c r="A73" s="5">
        <v>44804</v>
      </c>
      <c r="B73" s="6" t="s">
        <v>335</v>
      </c>
      <c r="C73" s="6" t="s">
        <v>27</v>
      </c>
      <c r="D73" s="9">
        <v>19.440000000000001</v>
      </c>
    </row>
    <row r="74" spans="1:4" x14ac:dyDescent="0.25">
      <c r="A74" s="24">
        <v>44816</v>
      </c>
      <c r="B74" s="6" t="s">
        <v>348</v>
      </c>
      <c r="C74" s="6" t="s">
        <v>349</v>
      </c>
      <c r="D74" s="9">
        <v>102.72</v>
      </c>
    </row>
    <row r="75" spans="1:4" x14ac:dyDescent="0.25">
      <c r="A75" s="66">
        <v>44825</v>
      </c>
      <c r="B75" s="22" t="s">
        <v>290</v>
      </c>
      <c r="C75" s="22" t="s">
        <v>136</v>
      </c>
      <c r="D75" s="48">
        <v>220.14</v>
      </c>
    </row>
    <row r="76" spans="1:4" x14ac:dyDescent="0.25">
      <c r="A76" s="24">
        <v>44830</v>
      </c>
      <c r="B76" s="17" t="s">
        <v>359</v>
      </c>
      <c r="C76" s="17" t="s">
        <v>360</v>
      </c>
      <c r="D76" s="39">
        <v>17</v>
      </c>
    </row>
    <row r="77" spans="1:4" x14ac:dyDescent="0.25">
      <c r="A77" s="66">
        <v>44831</v>
      </c>
      <c r="B77" s="29" t="s">
        <v>361</v>
      </c>
      <c r="C77" s="29" t="s">
        <v>362</v>
      </c>
      <c r="D77" s="67">
        <v>111</v>
      </c>
    </row>
    <row r="78" spans="1:4" x14ac:dyDescent="0.25">
      <c r="A78" s="24">
        <v>44833</v>
      </c>
      <c r="B78" s="17" t="s">
        <v>39</v>
      </c>
      <c r="C78" s="17" t="s">
        <v>363</v>
      </c>
      <c r="D78" s="25">
        <v>5.3</v>
      </c>
    </row>
    <row r="79" spans="1:4" x14ac:dyDescent="0.25">
      <c r="A79" s="5" t="s">
        <v>306</v>
      </c>
      <c r="B79" s="6" t="s">
        <v>307</v>
      </c>
      <c r="C79" s="6" t="s">
        <v>308</v>
      </c>
      <c r="D79" s="9">
        <f>75*5</f>
        <v>375</v>
      </c>
    </row>
    <row r="80" spans="1:4" x14ac:dyDescent="0.25">
      <c r="A80" s="17"/>
      <c r="B80" s="17"/>
      <c r="C80" s="17"/>
      <c r="D80" s="39"/>
    </row>
    <row r="84" spans="3:4" x14ac:dyDescent="0.25">
      <c r="C84" s="15" t="s">
        <v>260</v>
      </c>
      <c r="D84" s="8">
        <f>SUM(D4:D79)</f>
        <v>4022.21</v>
      </c>
    </row>
  </sheetData>
  <sortState ref="A4:D80">
    <sortCondition ref="A4:A80"/>
  </sortState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workbookViewId="0">
      <selection activeCell="C2" sqref="C2"/>
    </sheetView>
  </sheetViews>
  <sheetFormatPr defaultRowHeight="15" x14ac:dyDescent="0.25"/>
  <cols>
    <col min="1" max="1" width="27.140625" bestFit="1" customWidth="1"/>
    <col min="2" max="2" width="18.140625" style="15" bestFit="1" customWidth="1"/>
    <col min="3" max="3" width="16.140625" style="15" customWidth="1"/>
    <col min="4" max="4" width="18.85546875" style="15" bestFit="1" customWidth="1"/>
    <col min="5" max="6" width="18.85546875" style="15" customWidth="1"/>
    <col min="8" max="8" width="21.140625" bestFit="1" customWidth="1"/>
    <col min="9" max="9" width="44.85546875" bestFit="1" customWidth="1"/>
    <col min="10" max="10" width="18.140625" bestFit="1" customWidth="1"/>
  </cols>
  <sheetData>
    <row r="1" spans="1:10" s="15" customFormat="1" ht="21" x14ac:dyDescent="0.35">
      <c r="A1" s="36"/>
      <c r="B1" s="36" t="s">
        <v>162</v>
      </c>
      <c r="C1" s="36" t="s">
        <v>163</v>
      </c>
      <c r="D1" s="36" t="s">
        <v>164</v>
      </c>
      <c r="E1" s="36" t="s">
        <v>166</v>
      </c>
      <c r="F1" s="36" t="s">
        <v>167</v>
      </c>
    </row>
    <row r="2" spans="1:10" ht="21" x14ac:dyDescent="0.35">
      <c r="A2" s="36" t="s">
        <v>49</v>
      </c>
      <c r="B2" s="37">
        <f>3*22489.18</f>
        <v>67467.540000000008</v>
      </c>
      <c r="C2" s="36">
        <v>271250</v>
      </c>
      <c r="D2" s="38">
        <f t="shared" ref="D2:D7" si="0">C2-B2</f>
        <v>203782.46</v>
      </c>
      <c r="E2" s="37">
        <f>22489.18*12</f>
        <v>269870.16000000003</v>
      </c>
      <c r="F2" s="37">
        <f>C2-E2</f>
        <v>1379.8399999999674</v>
      </c>
      <c r="H2" s="37">
        <v>85231.15</v>
      </c>
      <c r="I2" s="36" t="s">
        <v>156</v>
      </c>
    </row>
    <row r="3" spans="1:10" ht="21" x14ac:dyDescent="0.35">
      <c r="A3" s="36" t="s">
        <v>157</v>
      </c>
      <c r="B3" s="36">
        <f>5833*4</f>
        <v>23332</v>
      </c>
      <c r="C3" s="36">
        <v>70000</v>
      </c>
      <c r="D3" s="36">
        <f t="shared" si="0"/>
        <v>46668</v>
      </c>
      <c r="E3" s="36">
        <f>5833*12</f>
        <v>69996</v>
      </c>
      <c r="F3" s="36">
        <f>C3-E3</f>
        <v>4</v>
      </c>
      <c r="H3" s="37">
        <f>215500+92350.53+29663.03</f>
        <v>337513.56000000006</v>
      </c>
      <c r="I3" s="36" t="s">
        <v>159</v>
      </c>
    </row>
    <row r="4" spans="1:10" ht="21" x14ac:dyDescent="0.35">
      <c r="A4" s="36" t="s">
        <v>72</v>
      </c>
      <c r="B4" s="36">
        <f>5000*3</f>
        <v>15000</v>
      </c>
      <c r="C4" s="36">
        <v>60000</v>
      </c>
      <c r="D4" s="36">
        <f t="shared" si="0"/>
        <v>45000</v>
      </c>
      <c r="E4" s="36">
        <f>5000*12</f>
        <v>60000</v>
      </c>
      <c r="F4" s="36">
        <f>C4-E4</f>
        <v>0</v>
      </c>
      <c r="H4" s="37">
        <f>62687.5+2*107351+10000</f>
        <v>287389.5</v>
      </c>
      <c r="I4" s="36" t="s">
        <v>160</v>
      </c>
    </row>
    <row r="5" spans="1:10" ht="21" x14ac:dyDescent="0.35">
      <c r="A5" s="36" t="s">
        <v>158</v>
      </c>
      <c r="B5" s="36">
        <v>22327.5</v>
      </c>
      <c r="C5" s="36">
        <v>160000</v>
      </c>
      <c r="D5" s="36">
        <f t="shared" si="0"/>
        <v>137672.5</v>
      </c>
      <c r="E5" s="36">
        <v>160000</v>
      </c>
      <c r="F5" s="36"/>
      <c r="H5" s="17"/>
      <c r="I5" s="36" t="s">
        <v>169</v>
      </c>
      <c r="J5" s="3">
        <v>-26197</v>
      </c>
    </row>
    <row r="6" spans="1:10" ht="21" x14ac:dyDescent="0.35">
      <c r="A6" s="36" t="s">
        <v>165</v>
      </c>
      <c r="B6" s="36">
        <v>1741.3</v>
      </c>
      <c r="C6" s="36">
        <v>20000</v>
      </c>
      <c r="D6" s="36">
        <f t="shared" si="0"/>
        <v>18258.7</v>
      </c>
      <c r="E6" s="36">
        <v>20000</v>
      </c>
      <c r="F6" s="36"/>
      <c r="H6" s="17"/>
      <c r="I6" s="36" t="s">
        <v>170</v>
      </c>
      <c r="J6" s="3">
        <f>-6600-3500-2500</f>
        <v>-12600</v>
      </c>
    </row>
    <row r="7" spans="1:10" ht="21" x14ac:dyDescent="0.35">
      <c r="A7" s="36" t="s">
        <v>168</v>
      </c>
      <c r="B7" s="36">
        <f>275+1935.53+3532.53+181.86</f>
        <v>5924.9199999999992</v>
      </c>
      <c r="C7" s="36">
        <v>55125</v>
      </c>
      <c r="D7" s="36">
        <f t="shared" si="0"/>
        <v>49200.08</v>
      </c>
      <c r="E7" s="36">
        <f>26181.29+4000+9*200+275+2000+10000</f>
        <v>44256.29</v>
      </c>
      <c r="F7" s="37">
        <f>C7-E7</f>
        <v>10868.71</v>
      </c>
      <c r="H7" s="37">
        <f>H3+H4</f>
        <v>624903.06000000006</v>
      </c>
      <c r="I7" s="36"/>
      <c r="J7" s="3"/>
    </row>
    <row r="8" spans="1:10" ht="21" x14ac:dyDescent="0.35">
      <c r="A8" s="17"/>
      <c r="B8" s="17"/>
      <c r="C8" s="36">
        <f>SUM(C2:C7)</f>
        <v>636375</v>
      </c>
      <c r="D8" s="17"/>
      <c r="E8" s="36">
        <f>SUM(E2:E7)</f>
        <v>624122.45000000007</v>
      </c>
      <c r="F8" s="39"/>
      <c r="H8" s="37">
        <f>E8</f>
        <v>624122.45000000007</v>
      </c>
      <c r="I8" s="36" t="s">
        <v>171</v>
      </c>
    </row>
    <row r="9" spans="1:10" ht="21" x14ac:dyDescent="0.35">
      <c r="H9" s="37">
        <f>H2+H7-H8</f>
        <v>86011.760000000009</v>
      </c>
      <c r="I9" s="37" t="s">
        <v>161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6" sqref="B6"/>
    </sheetView>
  </sheetViews>
  <sheetFormatPr defaultRowHeight="15" x14ac:dyDescent="0.25"/>
  <cols>
    <col min="1" max="1" width="16.140625" bestFit="1" customWidth="1"/>
    <col min="2" max="2" width="12.5703125" bestFit="1" customWidth="1"/>
    <col min="3" max="4" width="11.5703125" bestFit="1" customWidth="1"/>
    <col min="5" max="5" width="12.5703125" bestFit="1" customWidth="1"/>
    <col min="6" max="6" width="16.7109375" bestFit="1" customWidth="1"/>
    <col min="7" max="7" width="12.5703125" bestFit="1" customWidth="1"/>
    <col min="8" max="8" width="10" bestFit="1" customWidth="1"/>
    <col min="9" max="9" width="12.28515625" bestFit="1" customWidth="1"/>
  </cols>
  <sheetData>
    <row r="1" spans="1:9" x14ac:dyDescent="0.25">
      <c r="A1" s="11"/>
      <c r="B1" s="13" t="s">
        <v>44</v>
      </c>
      <c r="C1" s="14" t="s">
        <v>45</v>
      </c>
      <c r="D1" s="13" t="s">
        <v>46</v>
      </c>
      <c r="E1" s="13" t="s">
        <v>47</v>
      </c>
      <c r="F1" s="13" t="s">
        <v>48</v>
      </c>
    </row>
    <row r="2" spans="1:9" x14ac:dyDescent="0.25">
      <c r="A2" s="11" t="s">
        <v>49</v>
      </c>
      <c r="B2" s="25">
        <f>'2022 Power'!N2</f>
        <v>128728.06632000003</v>
      </c>
      <c r="C2" s="25">
        <f>'2022 Water'!N2</f>
        <v>48306.758639999985</v>
      </c>
      <c r="D2" s="25">
        <f>'2022 State'!N2</f>
        <v>32114.549039999998</v>
      </c>
      <c r="E2" s="25">
        <f>'2022 Federal'!N2</f>
        <v>32114.549039999998</v>
      </c>
      <c r="F2" s="25">
        <f>'2022 Customer Service'!N2</f>
        <v>28606.236960000006</v>
      </c>
      <c r="G2" s="26"/>
    </row>
    <row r="3" spans="1:9" x14ac:dyDescent="0.25">
      <c r="A3" s="11" t="s">
        <v>175</v>
      </c>
      <c r="B3" s="25">
        <f>4250+5000</f>
        <v>9250</v>
      </c>
      <c r="C3" s="25">
        <f>7450+2500</f>
        <v>9950</v>
      </c>
      <c r="D3" s="25">
        <v>275</v>
      </c>
      <c r="E3" s="25">
        <f>14500+5000</f>
        <v>19500</v>
      </c>
      <c r="F3" s="25">
        <v>6000</v>
      </c>
      <c r="G3" s="26"/>
    </row>
    <row r="4" spans="1:9" x14ac:dyDescent="0.25">
      <c r="A4" s="11" t="s">
        <v>51</v>
      </c>
      <c r="B4" s="25">
        <v>160000</v>
      </c>
      <c r="C4" s="25">
        <v>20000</v>
      </c>
      <c r="D4" s="25">
        <v>45000</v>
      </c>
      <c r="E4" s="25">
        <f>70000+15000</f>
        <v>85000</v>
      </c>
      <c r="F4" s="25"/>
      <c r="G4" s="26"/>
    </row>
    <row r="5" spans="1:9" x14ac:dyDescent="0.25">
      <c r="A5" s="12" t="s">
        <v>2</v>
      </c>
      <c r="B5" s="27">
        <f>SUM(B2:B4)</f>
        <v>297978.06632000004</v>
      </c>
      <c r="C5" s="27">
        <f t="shared" ref="C5:F5" si="0">SUM(C2:C4)</f>
        <v>78256.758639999985</v>
      </c>
      <c r="D5" s="27">
        <f t="shared" si="0"/>
        <v>77389.549039999998</v>
      </c>
      <c r="E5" s="27">
        <f t="shared" si="0"/>
        <v>136614.54904000001</v>
      </c>
      <c r="F5" s="27">
        <f t="shared" si="0"/>
        <v>34606.236960000009</v>
      </c>
      <c r="G5" s="26">
        <f t="shared" ref="G5" si="1">SUM(B5:F5)</f>
        <v>624845.16</v>
      </c>
    </row>
    <row r="6" spans="1:9" x14ac:dyDescent="0.25">
      <c r="A6" s="22" t="s">
        <v>118</v>
      </c>
      <c r="B6" s="26">
        <f>'2022 Power'!N9</f>
        <v>292959.53632000001</v>
      </c>
      <c r="C6" s="26">
        <f>'2022 Water'!N9</f>
        <v>75756.488639999981</v>
      </c>
      <c r="D6" s="26">
        <f>'2022 State'!N5</f>
        <v>77389.549039999998</v>
      </c>
      <c r="E6" s="26">
        <f>'2022 Federal'!N10</f>
        <v>131606.63903999998</v>
      </c>
      <c r="F6" s="26">
        <f>'2022 Customer Service'!N6</f>
        <v>34592.306960000002</v>
      </c>
      <c r="G6" s="26">
        <f>SUM(B6:F6)</f>
        <v>612304.52</v>
      </c>
    </row>
    <row r="7" spans="1:9" x14ac:dyDescent="0.25">
      <c r="A7" s="22" t="s">
        <v>119</v>
      </c>
      <c r="B7" s="26">
        <f>B5-B6</f>
        <v>5018.5300000000279</v>
      </c>
      <c r="C7" s="26">
        <f t="shared" ref="C7:F7" si="2">C5-C6</f>
        <v>2500.2700000000041</v>
      </c>
      <c r="D7" s="26">
        <f t="shared" si="2"/>
        <v>0</v>
      </c>
      <c r="E7" s="26">
        <f t="shared" si="2"/>
        <v>5007.9100000000326</v>
      </c>
      <c r="F7" s="26">
        <f t="shared" si="2"/>
        <v>13.930000000007567</v>
      </c>
      <c r="G7" s="26">
        <f>SUM(B7:F7)</f>
        <v>12540.640000000072</v>
      </c>
      <c r="I7" s="8"/>
    </row>
    <row r="8" spans="1:9" s="15" customFormat="1" x14ac:dyDescent="0.25"/>
    <row r="9" spans="1:9" x14ac:dyDescent="0.25">
      <c r="A9" s="15" t="s">
        <v>66</v>
      </c>
      <c r="B9" s="15"/>
      <c r="C9" s="16" t="s">
        <v>67</v>
      </c>
      <c r="D9" s="15"/>
      <c r="E9" s="15"/>
      <c r="F9" s="15"/>
      <c r="G9" s="19" t="s">
        <v>68</v>
      </c>
      <c r="H9" s="19">
        <v>205000</v>
      </c>
    </row>
    <row r="10" spans="1:9" x14ac:dyDescent="0.25">
      <c r="A10" s="15"/>
      <c r="B10" s="15"/>
      <c r="C10" s="15"/>
      <c r="D10" s="15"/>
      <c r="E10" s="15"/>
      <c r="F10" s="15"/>
      <c r="G10" s="19" t="s">
        <v>69</v>
      </c>
      <c r="H10" s="19">
        <v>51250</v>
      </c>
    </row>
    <row r="11" spans="1:9" x14ac:dyDescent="0.25">
      <c r="A11" s="15" t="s">
        <v>44</v>
      </c>
      <c r="B11" s="15">
        <v>104</v>
      </c>
      <c r="C11" s="18">
        <v>0.4</v>
      </c>
      <c r="D11" s="15"/>
      <c r="E11" s="15">
        <v>104</v>
      </c>
      <c r="F11" s="18">
        <v>0.47706422018348627</v>
      </c>
      <c r="G11" s="19" t="s">
        <v>70</v>
      </c>
      <c r="H11" s="19">
        <v>15000</v>
      </c>
    </row>
    <row r="12" spans="1:9" x14ac:dyDescent="0.25">
      <c r="A12" s="15" t="s">
        <v>45</v>
      </c>
      <c r="B12" s="15">
        <v>39</v>
      </c>
      <c r="C12" s="18">
        <v>0.15</v>
      </c>
      <c r="D12" s="15"/>
      <c r="E12" s="15">
        <v>39</v>
      </c>
      <c r="F12" s="18">
        <v>0.17889908256880735</v>
      </c>
      <c r="G12" s="19" t="s">
        <v>50</v>
      </c>
      <c r="H12" s="19">
        <v>30000</v>
      </c>
    </row>
    <row r="13" spans="1:9" x14ac:dyDescent="0.25">
      <c r="A13" s="15" t="s">
        <v>71</v>
      </c>
      <c r="B13" s="15">
        <v>26</v>
      </c>
      <c r="C13" s="18">
        <v>0.1</v>
      </c>
      <c r="D13" s="15"/>
      <c r="E13" s="15">
        <v>26</v>
      </c>
      <c r="F13" s="18">
        <v>0.11926605504587157</v>
      </c>
      <c r="G13" s="19" t="s">
        <v>72</v>
      </c>
      <c r="H13" s="19">
        <v>60000</v>
      </c>
    </row>
    <row r="14" spans="1:9" x14ac:dyDescent="0.25">
      <c r="A14" s="15" t="s">
        <v>73</v>
      </c>
      <c r="B14" s="15">
        <v>26</v>
      </c>
      <c r="C14" s="18">
        <v>0.1</v>
      </c>
      <c r="D14" s="15"/>
      <c r="E14" s="15">
        <v>26</v>
      </c>
      <c r="F14" s="18">
        <v>0.11926605504587157</v>
      </c>
      <c r="G14" s="19" t="s">
        <v>74</v>
      </c>
      <c r="H14" s="19">
        <v>70000</v>
      </c>
    </row>
    <row r="15" spans="1:9" x14ac:dyDescent="0.25">
      <c r="A15" s="15" t="s">
        <v>48</v>
      </c>
      <c r="B15" s="15">
        <v>23</v>
      </c>
      <c r="C15" s="18">
        <v>8.8461538461538466E-2</v>
      </c>
      <c r="D15" s="15"/>
      <c r="E15" s="15">
        <v>23</v>
      </c>
      <c r="F15" s="18">
        <v>0.10550458715596331</v>
      </c>
      <c r="G15" s="19" t="s">
        <v>75</v>
      </c>
      <c r="H15" s="19">
        <v>160000</v>
      </c>
    </row>
    <row r="16" spans="1:9" x14ac:dyDescent="0.25">
      <c r="A16" s="15" t="s">
        <v>76</v>
      </c>
      <c r="B16" s="15">
        <v>42</v>
      </c>
      <c r="C16" s="18">
        <v>0.16153846153846155</v>
      </c>
      <c r="D16" s="15"/>
      <c r="E16" s="15"/>
      <c r="F16" s="16"/>
      <c r="G16" s="19" t="s">
        <v>77</v>
      </c>
      <c r="H16" s="19">
        <v>20000</v>
      </c>
    </row>
    <row r="17" spans="1:8" x14ac:dyDescent="0.25">
      <c r="A17" s="15" t="s">
        <v>2</v>
      </c>
      <c r="B17" s="15">
        <v>260</v>
      </c>
      <c r="C17" s="15"/>
      <c r="D17" s="15"/>
      <c r="E17" s="15">
        <v>218</v>
      </c>
      <c r="F17" s="15"/>
      <c r="G17" s="20"/>
      <c r="H17" s="20"/>
    </row>
    <row r="18" spans="1:8" x14ac:dyDescent="0.25">
      <c r="A18" s="15"/>
      <c r="B18" s="15"/>
      <c r="C18" s="15"/>
      <c r="D18" s="15"/>
      <c r="E18" s="15"/>
      <c r="F18" s="15"/>
      <c r="G18" s="19" t="s">
        <v>78</v>
      </c>
      <c r="H18" s="19">
        <f>SUM(H9:H16)</f>
        <v>611250</v>
      </c>
    </row>
    <row r="19" spans="1:8" x14ac:dyDescent="0.25">
      <c r="A19" s="15"/>
      <c r="B19" s="15"/>
      <c r="C19" s="15"/>
      <c r="D19" s="15"/>
      <c r="E19" s="15"/>
      <c r="F19" s="15"/>
      <c r="G19" s="19" t="s">
        <v>79</v>
      </c>
      <c r="H19" s="19">
        <v>25125</v>
      </c>
    </row>
    <row r="20" spans="1:8" x14ac:dyDescent="0.25">
      <c r="A20" s="15" t="s">
        <v>80</v>
      </c>
      <c r="B20" s="15"/>
      <c r="C20" s="15"/>
      <c r="D20" s="15"/>
      <c r="E20" s="15"/>
      <c r="F20" s="15"/>
      <c r="G20" s="19" t="s">
        <v>2</v>
      </c>
      <c r="H20" s="19">
        <f>H18+H19</f>
        <v>636375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"/>
  <sheetViews>
    <sheetView workbookViewId="0">
      <selection activeCell="N9" sqref="N9"/>
    </sheetView>
  </sheetViews>
  <sheetFormatPr defaultRowHeight="15" x14ac:dyDescent="0.25"/>
  <cols>
    <col min="1" max="1" width="23.28515625" bestFit="1" customWidth="1"/>
    <col min="2" max="2" width="18.5703125" bestFit="1" customWidth="1"/>
    <col min="3" max="3" width="18.28515625" bestFit="1" customWidth="1"/>
    <col min="13" max="13" width="12" bestFit="1" customWidth="1"/>
  </cols>
  <sheetData>
    <row r="1" spans="1:15" x14ac:dyDescent="0.25">
      <c r="A1" s="11" t="s">
        <v>107</v>
      </c>
      <c r="B1" s="11" t="s">
        <v>52</v>
      </c>
      <c r="C1" s="11" t="s">
        <v>53</v>
      </c>
      <c r="D1" s="11" t="s">
        <v>54</v>
      </c>
      <c r="E1" s="11" t="s">
        <v>55</v>
      </c>
      <c r="F1" s="11" t="s">
        <v>56</v>
      </c>
      <c r="G1" s="11" t="s">
        <v>57</v>
      </c>
      <c r="H1" s="11" t="s">
        <v>58</v>
      </c>
      <c r="I1" s="11" t="s">
        <v>59</v>
      </c>
      <c r="J1" s="11" t="s">
        <v>60</v>
      </c>
      <c r="K1" s="11" t="s">
        <v>61</v>
      </c>
      <c r="L1" s="11" t="s">
        <v>62</v>
      </c>
      <c r="M1" s="11" t="s">
        <v>63</v>
      </c>
      <c r="N1" s="11" t="s">
        <v>2</v>
      </c>
    </row>
    <row r="2" spans="1:15" x14ac:dyDescent="0.25">
      <c r="A2" s="11" t="s">
        <v>64</v>
      </c>
      <c r="B2" s="11">
        <f>22489.18*0.477</f>
        <v>10727.33886</v>
      </c>
      <c r="C2" s="17">
        <f t="shared" ref="C2:M2" si="0">22489.18*0.477</f>
        <v>10727.33886</v>
      </c>
      <c r="D2" s="17">
        <f t="shared" si="0"/>
        <v>10727.33886</v>
      </c>
      <c r="E2" s="17">
        <f t="shared" si="0"/>
        <v>10727.33886</v>
      </c>
      <c r="F2" s="17">
        <f t="shared" si="0"/>
        <v>10727.33886</v>
      </c>
      <c r="G2" s="17">
        <f t="shared" si="0"/>
        <v>10727.33886</v>
      </c>
      <c r="H2" s="17">
        <f t="shared" si="0"/>
        <v>10727.33886</v>
      </c>
      <c r="I2" s="17">
        <f t="shared" si="0"/>
        <v>10727.33886</v>
      </c>
      <c r="J2" s="17">
        <f t="shared" si="0"/>
        <v>10727.33886</v>
      </c>
      <c r="K2" s="17">
        <f t="shared" si="0"/>
        <v>10727.33886</v>
      </c>
      <c r="L2" s="17">
        <f t="shared" si="0"/>
        <v>10727.33886</v>
      </c>
      <c r="M2" s="17">
        <f t="shared" si="0"/>
        <v>10727.33886</v>
      </c>
      <c r="N2" s="11">
        <f t="shared" ref="N2:N7" si="1">SUM(B2:M2)</f>
        <v>128728.06632000003</v>
      </c>
    </row>
    <row r="3" spans="1:15" x14ac:dyDescent="0.25">
      <c r="A3" s="11" t="s">
        <v>65</v>
      </c>
      <c r="B3" s="28">
        <v>13333</v>
      </c>
      <c r="C3" s="28">
        <v>13333</v>
      </c>
      <c r="D3" s="28">
        <v>13333</v>
      </c>
      <c r="E3" s="28">
        <v>13333</v>
      </c>
      <c r="F3" s="28">
        <v>13333</v>
      </c>
      <c r="G3" s="28">
        <v>13333</v>
      </c>
      <c r="H3" s="28">
        <v>13333</v>
      </c>
      <c r="I3" s="28">
        <v>13333</v>
      </c>
      <c r="J3" s="28">
        <v>13333</v>
      </c>
      <c r="K3" s="28">
        <v>13333</v>
      </c>
      <c r="L3" s="28">
        <v>13333</v>
      </c>
      <c r="M3" s="28">
        <v>13333</v>
      </c>
      <c r="N3" s="17">
        <f t="shared" si="1"/>
        <v>159996</v>
      </c>
    </row>
    <row r="4" spans="1:15" x14ac:dyDescent="0.25">
      <c r="A4" s="15" t="s">
        <v>114</v>
      </c>
      <c r="B4">
        <v>287.95</v>
      </c>
      <c r="E4" s="30">
        <v>350</v>
      </c>
      <c r="G4" s="30">
        <v>350</v>
      </c>
      <c r="J4" s="30">
        <v>350</v>
      </c>
      <c r="M4">
        <f>413.46+287.95</f>
        <v>701.41</v>
      </c>
      <c r="N4" s="17">
        <f t="shared" si="1"/>
        <v>2039.3600000000001</v>
      </c>
    </row>
    <row r="5" spans="1:15" x14ac:dyDescent="0.25">
      <c r="A5" s="21" t="s">
        <v>104</v>
      </c>
      <c r="B5">
        <f>225.63+44.22</f>
        <v>269.85000000000002</v>
      </c>
      <c r="E5" s="30">
        <f>225.63+44.22</f>
        <v>269.85000000000002</v>
      </c>
      <c r="G5" s="30">
        <f>500</f>
        <v>500</v>
      </c>
      <c r="J5" s="30">
        <f>225.63+44.22</f>
        <v>269.85000000000002</v>
      </c>
      <c r="N5" s="17">
        <f t="shared" si="1"/>
        <v>1309.5500000000002</v>
      </c>
    </row>
    <row r="6" spans="1:15" x14ac:dyDescent="0.25">
      <c r="A6" s="21" t="s">
        <v>115</v>
      </c>
      <c r="B6">
        <v>24</v>
      </c>
      <c r="E6" s="30">
        <v>36</v>
      </c>
      <c r="G6" s="30">
        <v>36</v>
      </c>
      <c r="J6" s="30">
        <v>36</v>
      </c>
      <c r="N6" s="17">
        <f t="shared" si="1"/>
        <v>132</v>
      </c>
    </row>
    <row r="7" spans="1:15" x14ac:dyDescent="0.25">
      <c r="A7" s="21" t="s">
        <v>88</v>
      </c>
      <c r="B7">
        <v>113.64</v>
      </c>
      <c r="E7" s="30">
        <v>113.64</v>
      </c>
      <c r="G7" s="30">
        <v>113.64</v>
      </c>
      <c r="J7" s="30">
        <v>113.64</v>
      </c>
      <c r="L7" s="30">
        <v>300</v>
      </c>
      <c r="N7" s="17">
        <f t="shared" si="1"/>
        <v>754.56</v>
      </c>
      <c r="O7">
        <v>4235.47</v>
      </c>
    </row>
    <row r="8" spans="1:15" x14ac:dyDescent="0.25">
      <c r="A8" s="21" t="s">
        <v>36</v>
      </c>
      <c r="N8" s="17">
        <f>SUM(C8:M8)</f>
        <v>0</v>
      </c>
    </row>
    <row r="9" spans="1:15" x14ac:dyDescent="0.25">
      <c r="A9" s="21" t="s">
        <v>2</v>
      </c>
      <c r="N9" s="22">
        <f>SUM(N2:N8)</f>
        <v>292959.53632000001</v>
      </c>
    </row>
    <row r="10" spans="1:15" x14ac:dyDescent="0.25">
      <c r="E10" t="s">
        <v>120</v>
      </c>
      <c r="G10" t="s">
        <v>121</v>
      </c>
      <c r="J10" t="s">
        <v>122</v>
      </c>
      <c r="L10" t="s">
        <v>123</v>
      </c>
    </row>
    <row r="11" spans="1:15" x14ac:dyDescent="0.25">
      <c r="A11" s="5">
        <v>44552</v>
      </c>
      <c r="B11" s="6" t="s">
        <v>109</v>
      </c>
      <c r="C11" s="6" t="s">
        <v>104</v>
      </c>
      <c r="D11" s="23">
        <v>225.63</v>
      </c>
    </row>
    <row r="12" spans="1:15" x14ac:dyDescent="0.25">
      <c r="A12" s="5">
        <v>44552</v>
      </c>
      <c r="B12" s="6" t="s">
        <v>98</v>
      </c>
      <c r="C12" s="6" t="s">
        <v>106</v>
      </c>
      <c r="D12" s="23">
        <v>287.95</v>
      </c>
    </row>
    <row r="13" spans="1:15" x14ac:dyDescent="0.25">
      <c r="A13" s="5">
        <v>44581</v>
      </c>
      <c r="B13" s="6" t="s">
        <v>37</v>
      </c>
      <c r="C13" s="6" t="s">
        <v>7</v>
      </c>
      <c r="D13" s="9">
        <v>14.51</v>
      </c>
    </row>
    <row r="14" spans="1:15" x14ac:dyDescent="0.25">
      <c r="A14" s="5">
        <v>44581</v>
      </c>
      <c r="B14" s="6" t="s">
        <v>38</v>
      </c>
      <c r="C14" s="6" t="s">
        <v>27</v>
      </c>
      <c r="D14" s="9">
        <v>60.96</v>
      </c>
    </row>
    <row r="15" spans="1:15" x14ac:dyDescent="0.25">
      <c r="A15" s="5">
        <v>44582</v>
      </c>
      <c r="B15" s="6" t="s">
        <v>30</v>
      </c>
      <c r="C15" s="6" t="s">
        <v>31</v>
      </c>
      <c r="D15" s="9">
        <v>24</v>
      </c>
    </row>
    <row r="16" spans="1:15" x14ac:dyDescent="0.25">
      <c r="A16" s="5">
        <v>44582</v>
      </c>
      <c r="B16" s="6" t="s">
        <v>39</v>
      </c>
      <c r="C16" s="6" t="s">
        <v>40</v>
      </c>
      <c r="D16" s="9">
        <v>17.61</v>
      </c>
    </row>
    <row r="17" spans="1:4" x14ac:dyDescent="0.25">
      <c r="A17" s="5">
        <v>44582</v>
      </c>
      <c r="B17" s="6" t="s">
        <v>41</v>
      </c>
      <c r="C17" s="6" t="s">
        <v>7</v>
      </c>
      <c r="D17" s="9">
        <v>20.56</v>
      </c>
    </row>
    <row r="18" spans="1:4" x14ac:dyDescent="0.25">
      <c r="A18" s="5">
        <v>44582</v>
      </c>
      <c r="B18" s="6" t="s">
        <v>42</v>
      </c>
      <c r="C18" s="6" t="s">
        <v>43</v>
      </c>
      <c r="D18" s="9">
        <v>44.22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N9" sqref="N9"/>
    </sheetView>
  </sheetViews>
  <sheetFormatPr defaultRowHeight="15" x14ac:dyDescent="0.25"/>
  <cols>
    <col min="1" max="1" width="26" style="15" customWidth="1"/>
    <col min="2" max="3" width="9.140625" style="15"/>
    <col min="4" max="4" width="11.5703125" style="15" bestFit="1" customWidth="1"/>
    <col min="5" max="12" width="9.140625" style="15"/>
    <col min="13" max="13" width="12" style="15" bestFit="1" customWidth="1"/>
    <col min="14" max="14" width="16.28515625" style="15" bestFit="1" customWidth="1"/>
    <col min="15" max="15" width="9.140625" style="15"/>
    <col min="16" max="17" width="18.140625" style="15" bestFit="1" customWidth="1"/>
    <col min="18" max="16384" width="9.140625" style="15"/>
  </cols>
  <sheetData>
    <row r="1" spans="1:17" x14ac:dyDescent="0.25">
      <c r="A1" s="17" t="s">
        <v>108</v>
      </c>
      <c r="B1" s="17" t="s">
        <v>52</v>
      </c>
      <c r="C1" s="17" t="s">
        <v>53</v>
      </c>
      <c r="D1" s="17" t="s">
        <v>54</v>
      </c>
      <c r="E1" s="17" t="s">
        <v>55</v>
      </c>
      <c r="F1" s="17" t="s">
        <v>56</v>
      </c>
      <c r="G1" s="17" t="s">
        <v>57</v>
      </c>
      <c r="H1" s="17" t="s">
        <v>58</v>
      </c>
      <c r="I1" s="17" t="s">
        <v>59</v>
      </c>
      <c r="J1" s="17" t="s">
        <v>60</v>
      </c>
      <c r="K1" s="17" t="s">
        <v>61</v>
      </c>
      <c r="L1" s="17" t="s">
        <v>62</v>
      </c>
      <c r="M1" s="17" t="s">
        <v>63</v>
      </c>
      <c r="N1" s="17" t="s">
        <v>2</v>
      </c>
    </row>
    <row r="2" spans="1:17" x14ac:dyDescent="0.25">
      <c r="A2" s="17" t="s">
        <v>64</v>
      </c>
      <c r="B2" s="17">
        <f>22489.18*0.179</f>
        <v>4025.56322</v>
      </c>
      <c r="C2" s="17">
        <f t="shared" ref="C2:M2" si="0">22489.18*0.179</f>
        <v>4025.56322</v>
      </c>
      <c r="D2" s="17">
        <f t="shared" si="0"/>
        <v>4025.56322</v>
      </c>
      <c r="E2" s="17">
        <f t="shared" si="0"/>
        <v>4025.56322</v>
      </c>
      <c r="F2" s="17">
        <f t="shared" si="0"/>
        <v>4025.56322</v>
      </c>
      <c r="G2" s="17">
        <f t="shared" si="0"/>
        <v>4025.56322</v>
      </c>
      <c r="H2" s="17">
        <f t="shared" si="0"/>
        <v>4025.56322</v>
      </c>
      <c r="I2" s="17">
        <f t="shared" si="0"/>
        <v>4025.56322</v>
      </c>
      <c r="J2" s="17">
        <f t="shared" si="0"/>
        <v>4025.56322</v>
      </c>
      <c r="K2" s="17">
        <f t="shared" si="0"/>
        <v>4025.56322</v>
      </c>
      <c r="L2" s="17">
        <f t="shared" si="0"/>
        <v>4025.56322</v>
      </c>
      <c r="M2" s="17">
        <f t="shared" si="0"/>
        <v>4025.56322</v>
      </c>
      <c r="N2" s="17">
        <f>SUM(B2:M2)</f>
        <v>48306.758639999985</v>
      </c>
    </row>
    <row r="3" spans="1:17" x14ac:dyDescent="0.25">
      <c r="A3" s="17" t="s">
        <v>110</v>
      </c>
      <c r="B3" s="17">
        <v>5000</v>
      </c>
      <c r="C3" s="17">
        <v>5000</v>
      </c>
      <c r="D3" s="17">
        <v>5000</v>
      </c>
      <c r="E3" s="17">
        <v>5000</v>
      </c>
      <c r="F3" s="17"/>
      <c r="G3" s="17"/>
      <c r="H3" s="17"/>
      <c r="I3" s="17"/>
      <c r="J3" s="17"/>
      <c r="K3" s="17"/>
      <c r="L3" s="17"/>
      <c r="M3" s="17"/>
      <c r="N3" s="17">
        <f>SUM(B3:M3)</f>
        <v>20000</v>
      </c>
    </row>
    <row r="4" spans="1:17" x14ac:dyDescent="0.25">
      <c r="A4" s="15" t="s">
        <v>114</v>
      </c>
      <c r="F4" s="30">
        <v>500</v>
      </c>
      <c r="I4" s="30">
        <v>350</v>
      </c>
      <c r="J4" s="30">
        <v>350</v>
      </c>
      <c r="M4" s="30"/>
      <c r="N4" s="17">
        <f t="shared" ref="N4:N8" si="1">SUM(B4:M4)</f>
        <v>1200</v>
      </c>
    </row>
    <row r="5" spans="1:17" x14ac:dyDescent="0.25">
      <c r="A5" s="21" t="s">
        <v>104</v>
      </c>
      <c r="F5" s="30">
        <v>1200</v>
      </c>
      <c r="I5" s="30">
        <f>500</f>
        <v>500</v>
      </c>
      <c r="J5" s="30">
        <v>600</v>
      </c>
      <c r="M5" s="30">
        <f>130.06+491.39</f>
        <v>621.45000000000005</v>
      </c>
      <c r="N5" s="17">
        <f t="shared" si="1"/>
        <v>2921.45</v>
      </c>
    </row>
    <row r="6" spans="1:17" x14ac:dyDescent="0.25">
      <c r="A6" s="21" t="s">
        <v>115</v>
      </c>
      <c r="F6" s="30">
        <v>113</v>
      </c>
      <c r="I6" s="30">
        <v>24</v>
      </c>
      <c r="J6" s="30">
        <v>24</v>
      </c>
      <c r="M6" s="30">
        <v>100</v>
      </c>
      <c r="N6" s="17">
        <f t="shared" si="1"/>
        <v>261</v>
      </c>
    </row>
    <row r="7" spans="1:17" x14ac:dyDescent="0.25">
      <c r="A7" s="21" t="s">
        <v>88</v>
      </c>
      <c r="B7" s="30">
        <v>30</v>
      </c>
      <c r="C7" s="30">
        <v>30</v>
      </c>
      <c r="D7" s="30">
        <v>30</v>
      </c>
      <c r="E7" s="30">
        <v>30</v>
      </c>
      <c r="F7" s="30">
        <v>400</v>
      </c>
      <c r="G7" s="30">
        <v>30</v>
      </c>
      <c r="H7" s="30">
        <v>30</v>
      </c>
      <c r="I7" s="30">
        <v>113.64</v>
      </c>
      <c r="J7" s="30">
        <v>113.64</v>
      </c>
      <c r="K7" s="30">
        <v>30</v>
      </c>
      <c r="L7" s="30">
        <v>30</v>
      </c>
      <c r="M7" s="30">
        <v>300</v>
      </c>
      <c r="N7" s="17">
        <f t="shared" si="1"/>
        <v>1167.28</v>
      </c>
    </row>
    <row r="8" spans="1:17" x14ac:dyDescent="0.25">
      <c r="A8" s="21" t="s">
        <v>36</v>
      </c>
      <c r="F8" s="34">
        <v>650</v>
      </c>
      <c r="I8" s="34">
        <v>650</v>
      </c>
      <c r="M8" s="30">
        <v>600</v>
      </c>
      <c r="N8" s="17">
        <f t="shared" si="1"/>
        <v>1900</v>
      </c>
      <c r="O8" s="15">
        <v>7449.73</v>
      </c>
    </row>
    <row r="9" spans="1:17" ht="21" x14ac:dyDescent="0.35">
      <c r="A9" s="21" t="s">
        <v>2</v>
      </c>
      <c r="F9" s="15" t="s">
        <v>124</v>
      </c>
      <c r="I9" s="15" t="s">
        <v>126</v>
      </c>
      <c r="J9" s="15" t="s">
        <v>127</v>
      </c>
      <c r="M9" s="15" t="s">
        <v>128</v>
      </c>
      <c r="N9" s="22">
        <f>SUM(N2:N8)</f>
        <v>75756.488639999981</v>
      </c>
      <c r="P9" s="3"/>
      <c r="Q9" s="3"/>
    </row>
    <row r="10" spans="1:17" x14ac:dyDescent="0.25">
      <c r="A10" s="5">
        <v>44503</v>
      </c>
      <c r="B10" s="6" t="s">
        <v>85</v>
      </c>
      <c r="C10" s="6" t="s">
        <v>36</v>
      </c>
      <c r="D10" s="23">
        <v>505</v>
      </c>
    </row>
    <row r="11" spans="1:17" x14ac:dyDescent="0.25">
      <c r="A11" s="5">
        <v>44503</v>
      </c>
      <c r="B11" s="6" t="s">
        <v>89</v>
      </c>
      <c r="C11" s="6" t="s">
        <v>90</v>
      </c>
      <c r="D11" s="23">
        <v>130.06</v>
      </c>
    </row>
    <row r="12" spans="1:17" x14ac:dyDescent="0.25">
      <c r="A12" s="5">
        <v>44504</v>
      </c>
      <c r="B12" s="6" t="s">
        <v>86</v>
      </c>
      <c r="C12" s="6" t="s">
        <v>91</v>
      </c>
      <c r="D12" s="23">
        <v>650</v>
      </c>
    </row>
    <row r="13" spans="1:17" x14ac:dyDescent="0.25">
      <c r="A13" s="5">
        <v>44533</v>
      </c>
      <c r="B13" s="6" t="s">
        <v>111</v>
      </c>
      <c r="C13" s="6" t="s">
        <v>77</v>
      </c>
      <c r="D13" s="23">
        <v>10581.81</v>
      </c>
    </row>
    <row r="14" spans="1:17" x14ac:dyDescent="0.25">
      <c r="A14" s="5">
        <v>44543</v>
      </c>
      <c r="B14" s="6" t="s">
        <v>112</v>
      </c>
      <c r="C14" s="6" t="s">
        <v>27</v>
      </c>
      <c r="D14" s="23">
        <v>85</v>
      </c>
    </row>
    <row r="15" spans="1:17" ht="21" x14ac:dyDescent="0.35">
      <c r="A15" s="5">
        <v>44544</v>
      </c>
      <c r="B15" s="6" t="s">
        <v>101</v>
      </c>
      <c r="C15" s="6" t="s">
        <v>7</v>
      </c>
      <c r="D15" s="23">
        <f>32.49/2</f>
        <v>16.245000000000001</v>
      </c>
      <c r="N15" s="2"/>
      <c r="O15" s="1"/>
      <c r="P15" s="3"/>
      <c r="Q15" s="1"/>
    </row>
    <row r="16" spans="1:17" x14ac:dyDescent="0.25">
      <c r="A16" s="5">
        <v>44545</v>
      </c>
      <c r="B16" s="6" t="s">
        <v>102</v>
      </c>
      <c r="C16" s="6" t="s">
        <v>6</v>
      </c>
      <c r="D16" s="23">
        <v>8.66</v>
      </c>
    </row>
    <row r="17" spans="1:4" x14ac:dyDescent="0.25">
      <c r="A17" s="5">
        <v>44546</v>
      </c>
      <c r="B17" s="6" t="s">
        <v>103</v>
      </c>
      <c r="C17" s="6" t="s">
        <v>104</v>
      </c>
      <c r="D17" s="23">
        <v>491.39</v>
      </c>
    </row>
    <row r="18" spans="1:4" x14ac:dyDescent="0.25">
      <c r="A18" s="5">
        <v>44546</v>
      </c>
      <c r="B18" s="6" t="s">
        <v>105</v>
      </c>
      <c r="C18" s="6" t="s">
        <v>7</v>
      </c>
      <c r="D18" s="23">
        <f>25.48/2</f>
        <v>12.74</v>
      </c>
    </row>
    <row r="19" spans="1:4" x14ac:dyDescent="0.25">
      <c r="A19" s="24">
        <v>44558</v>
      </c>
      <c r="B19" s="6" t="s">
        <v>111</v>
      </c>
      <c r="C19" s="17" t="s">
        <v>77</v>
      </c>
      <c r="D19" s="23">
        <v>10472.85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N9" sqref="N9"/>
    </sheetView>
  </sheetViews>
  <sheetFormatPr defaultRowHeight="15" x14ac:dyDescent="0.25"/>
  <cols>
    <col min="1" max="1" width="21" style="15" bestFit="1" customWidth="1"/>
    <col min="2" max="12" width="9.140625" style="15"/>
    <col min="13" max="13" width="12" style="15" bestFit="1" customWidth="1"/>
    <col min="14" max="16384" width="9.140625" style="15"/>
  </cols>
  <sheetData>
    <row r="1" spans="1:14" x14ac:dyDescent="0.25">
      <c r="A1" s="17" t="s">
        <v>174</v>
      </c>
      <c r="B1" s="17" t="s">
        <v>52</v>
      </c>
      <c r="C1" s="17" t="s">
        <v>53</v>
      </c>
      <c r="D1" s="17" t="s">
        <v>54</v>
      </c>
      <c r="E1" s="17" t="s">
        <v>55</v>
      </c>
      <c r="F1" s="17" t="s">
        <v>56</v>
      </c>
      <c r="G1" s="17" t="s">
        <v>57</v>
      </c>
      <c r="H1" s="17" t="s">
        <v>58</v>
      </c>
      <c r="I1" s="17" t="s">
        <v>59</v>
      </c>
      <c r="J1" s="17" t="s">
        <v>60</v>
      </c>
      <c r="K1" s="17" t="s">
        <v>61</v>
      </c>
      <c r="L1" s="17" t="s">
        <v>62</v>
      </c>
      <c r="M1" s="17" t="s">
        <v>63</v>
      </c>
      <c r="N1" s="17" t="s">
        <v>2</v>
      </c>
    </row>
    <row r="2" spans="1:14" x14ac:dyDescent="0.25">
      <c r="A2" s="17" t="s">
        <v>64</v>
      </c>
      <c r="B2" s="17">
        <f>22489.18*0.119</f>
        <v>2676.2124199999998</v>
      </c>
      <c r="C2" s="17">
        <f t="shared" ref="C2:M2" si="0">22489.18*0.119</f>
        <v>2676.2124199999998</v>
      </c>
      <c r="D2" s="17">
        <f t="shared" si="0"/>
        <v>2676.2124199999998</v>
      </c>
      <c r="E2" s="17">
        <f t="shared" si="0"/>
        <v>2676.2124199999998</v>
      </c>
      <c r="F2" s="17">
        <f t="shared" si="0"/>
        <v>2676.2124199999998</v>
      </c>
      <c r="G2" s="17">
        <f t="shared" si="0"/>
        <v>2676.2124199999998</v>
      </c>
      <c r="H2" s="17">
        <f t="shared" si="0"/>
        <v>2676.2124199999998</v>
      </c>
      <c r="I2" s="17">
        <f t="shared" si="0"/>
        <v>2676.2124199999998</v>
      </c>
      <c r="J2" s="17">
        <f t="shared" si="0"/>
        <v>2676.2124199999998</v>
      </c>
      <c r="K2" s="17">
        <f t="shared" si="0"/>
        <v>2676.2124199999998</v>
      </c>
      <c r="L2" s="17">
        <f t="shared" si="0"/>
        <v>2676.2124199999998</v>
      </c>
      <c r="M2" s="17">
        <f t="shared" si="0"/>
        <v>2676.2124199999998</v>
      </c>
      <c r="N2" s="17">
        <f>SUM(B2:M2)</f>
        <v>32114.549039999998</v>
      </c>
    </row>
    <row r="3" spans="1:14" x14ac:dyDescent="0.25">
      <c r="A3" s="17" t="s">
        <v>81</v>
      </c>
      <c r="B3" s="17">
        <f>5000*0.75</f>
        <v>3750</v>
      </c>
      <c r="C3" s="17">
        <f t="shared" ref="C3:M3" si="1">5000*0.75</f>
        <v>3750</v>
      </c>
      <c r="D3" s="17">
        <f t="shared" si="1"/>
        <v>3750</v>
      </c>
      <c r="E3" s="17">
        <f t="shared" si="1"/>
        <v>3750</v>
      </c>
      <c r="F3" s="17">
        <f t="shared" si="1"/>
        <v>3750</v>
      </c>
      <c r="G3" s="17">
        <f t="shared" si="1"/>
        <v>3750</v>
      </c>
      <c r="H3" s="17">
        <f t="shared" si="1"/>
        <v>3750</v>
      </c>
      <c r="I3" s="17">
        <f t="shared" si="1"/>
        <v>3750</v>
      </c>
      <c r="J3" s="17">
        <f t="shared" si="1"/>
        <v>3750</v>
      </c>
      <c r="K3" s="17">
        <f t="shared" si="1"/>
        <v>3750</v>
      </c>
      <c r="L3" s="17">
        <f t="shared" si="1"/>
        <v>3750</v>
      </c>
      <c r="M3" s="17">
        <f t="shared" si="1"/>
        <v>3750</v>
      </c>
      <c r="N3" s="17">
        <f>SUM(B3:M3)</f>
        <v>45000</v>
      </c>
    </row>
    <row r="4" spans="1:14" x14ac:dyDescent="0.25">
      <c r="A4" s="21" t="s">
        <v>36</v>
      </c>
      <c r="B4">
        <v>275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7">
        <f>SUM(B4:M4)</f>
        <v>275</v>
      </c>
    </row>
    <row r="5" spans="1:14" x14ac:dyDescent="0.25">
      <c r="A5" s="22" t="s">
        <v>2</v>
      </c>
      <c r="N5" s="15">
        <f>SUM(N2:N4)</f>
        <v>77389.549039999998</v>
      </c>
    </row>
    <row r="8" spans="1:14" x14ac:dyDescent="0.25">
      <c r="A8" s="5">
        <v>44576</v>
      </c>
      <c r="B8" s="6" t="s">
        <v>35</v>
      </c>
      <c r="C8" s="6" t="s">
        <v>36</v>
      </c>
      <c r="D8" s="9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SOC 9-30-2022</vt:lpstr>
      <vt:lpstr>Q3 Financial Update</vt:lpstr>
      <vt:lpstr>Exp. Report Details</vt:lpstr>
      <vt:lpstr>Travel &amp; Contigency</vt:lpstr>
      <vt:lpstr>Q1 Financial Update</vt:lpstr>
      <vt:lpstr>Budget Tracking</vt:lpstr>
      <vt:lpstr>2022 Power</vt:lpstr>
      <vt:lpstr>2022 Water</vt:lpstr>
      <vt:lpstr>2022 State</vt:lpstr>
      <vt:lpstr>2022 Federal</vt:lpstr>
      <vt:lpstr>2022 Customer Service</vt:lpstr>
      <vt:lpstr>Travel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Gerak</dc:creator>
  <cp:lastModifiedBy>Ed Gerak</cp:lastModifiedBy>
  <dcterms:created xsi:type="dcterms:W3CDTF">2021-12-07T16:47:39Z</dcterms:created>
  <dcterms:modified xsi:type="dcterms:W3CDTF">2022-10-04T12:17:17Z</dcterms:modified>
</cp:coreProperties>
</file>